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SEE\Etude PNUD\ENQUETE IMPACT COVID SUR LES ENTREPRISES ET MENAGES-PNUD-JUIN2020\Budget\"/>
    </mc:Choice>
  </mc:AlternateContent>
  <bookViews>
    <workbookView xWindow="-120" yWindow="-120" windowWidth="19440" windowHeight="10440" activeTab="1"/>
  </bookViews>
  <sheets>
    <sheet name="Personnel de terrain" sheetId="18" r:id="rId1"/>
    <sheet name="BUDGET Enquete COVID PNUD" sheetId="17" r:id="rId2"/>
    <sheet name="SYNTHESE" sheetId="20" r:id="rId3"/>
  </sheets>
  <definedNames>
    <definedName name="_xlnm._FilterDatabase" localSheetId="1" hidden="1">'BUDGET Enquete COVID PNUD'!$A$2:$G$108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6" i="17" l="1"/>
  <c r="F102" i="17" l="1"/>
  <c r="C19" i="18"/>
  <c r="C18" i="18"/>
  <c r="G47" i="17" l="1"/>
  <c r="C14" i="18" l="1"/>
  <c r="G25" i="17" l="1"/>
  <c r="G98" i="17" l="1"/>
  <c r="F46" i="17"/>
  <c r="F45" i="17"/>
  <c r="I44" i="17"/>
  <c r="D37" i="17"/>
  <c r="C9" i="17" l="1"/>
  <c r="G12" i="17"/>
  <c r="C16" i="18" l="1"/>
  <c r="D50" i="17" l="1"/>
  <c r="C54" i="17" l="1"/>
  <c r="C55" i="17" s="1"/>
  <c r="G5" i="17"/>
  <c r="C11" i="17"/>
  <c r="C23" i="17"/>
  <c r="G102" i="17" l="1"/>
  <c r="G101" i="17" s="1"/>
  <c r="C16" i="20" s="1"/>
  <c r="G97" i="17"/>
  <c r="C30" i="18"/>
  <c r="C27" i="18" l="1"/>
  <c r="C8" i="20"/>
  <c r="F72" i="17" l="1"/>
  <c r="F71" i="17"/>
  <c r="C77" i="17" l="1"/>
  <c r="C85" i="17"/>
  <c r="E12" i="18" l="1"/>
  <c r="G23" i="17" l="1"/>
  <c r="G9" i="17"/>
  <c r="G13" i="17"/>
  <c r="G11" i="17"/>
  <c r="G8" i="17" l="1"/>
  <c r="C7" i="20" s="1"/>
  <c r="G17" i="17" l="1"/>
  <c r="G6" i="17"/>
  <c r="G4" i="17"/>
  <c r="G76" i="17"/>
  <c r="G85" i="17"/>
  <c r="G84" i="17"/>
  <c r="G77" i="17"/>
  <c r="C89" i="17"/>
  <c r="G89" i="17" s="1"/>
  <c r="C87" i="17"/>
  <c r="F86" i="17"/>
  <c r="D86" i="17"/>
  <c r="D87" i="17" s="1"/>
  <c r="C81" i="17"/>
  <c r="G81" i="17" s="1"/>
  <c r="F87" i="17"/>
  <c r="C79" i="17"/>
  <c r="C80" i="17" s="1"/>
  <c r="D78" i="17"/>
  <c r="D79" i="17" s="1"/>
  <c r="D61" i="17"/>
  <c r="G61" i="17" s="1"/>
  <c r="D60" i="17"/>
  <c r="G60" i="17" s="1"/>
  <c r="D51" i="17"/>
  <c r="G51" i="17" s="1"/>
  <c r="D34" i="17"/>
  <c r="G34" i="17" s="1"/>
  <c r="D30" i="17"/>
  <c r="D72" i="17"/>
  <c r="G72" i="17" s="1"/>
  <c r="D71" i="17"/>
  <c r="G71" i="17" s="1"/>
  <c r="D69" i="17"/>
  <c r="C69" i="17"/>
  <c r="D68" i="17"/>
  <c r="C68" i="17"/>
  <c r="D67" i="17"/>
  <c r="C67" i="17"/>
  <c r="G66" i="17"/>
  <c r="D64" i="17"/>
  <c r="C64" i="17"/>
  <c r="G63" i="17"/>
  <c r="G54" i="17"/>
  <c r="G53" i="17"/>
  <c r="G50" i="17"/>
  <c r="G3" i="17" l="1"/>
  <c r="G49" i="17"/>
  <c r="G30" i="17"/>
  <c r="G70" i="17"/>
  <c r="G33" i="17"/>
  <c r="G59" i="17"/>
  <c r="D80" i="17"/>
  <c r="G80" i="17" s="1"/>
  <c r="D88" i="17"/>
  <c r="G87" i="17"/>
  <c r="G86" i="17"/>
  <c r="D31" i="17"/>
  <c r="G78" i="17"/>
  <c r="G79" i="17"/>
  <c r="C88" i="17"/>
  <c r="G69" i="17"/>
  <c r="G68" i="17"/>
  <c r="G67" i="17"/>
  <c r="C56" i="17"/>
  <c r="G56" i="17" s="1"/>
  <c r="G91" i="17" l="1"/>
  <c r="G62" i="17"/>
  <c r="G65" i="17"/>
  <c r="G75" i="17"/>
  <c r="G88" i="17"/>
  <c r="G31" i="17"/>
  <c r="D32" i="17"/>
  <c r="G55" i="17"/>
  <c r="C57" i="17"/>
  <c r="C58" i="17" s="1"/>
  <c r="G58" i="17" s="1"/>
  <c r="C15" i="20" l="1"/>
  <c r="G32" i="17"/>
  <c r="G83" i="17"/>
  <c r="G57" i="17"/>
  <c r="G74" i="17" l="1"/>
  <c r="G52" i="17"/>
  <c r="C13" i="20" l="1"/>
  <c r="G48" i="17"/>
  <c r="C12" i="20" l="1"/>
  <c r="C12" i="18" l="1"/>
  <c r="D7" i="18" l="1"/>
  <c r="D8" i="18"/>
  <c r="C21" i="17"/>
  <c r="G21" i="17" s="1"/>
  <c r="C36" i="17"/>
  <c r="D6" i="18"/>
  <c r="I6" i="18" s="1"/>
  <c r="D11" i="18"/>
  <c r="D10" i="18"/>
  <c r="D9" i="18"/>
  <c r="F9" i="18" l="1"/>
  <c r="C42" i="17" s="1"/>
  <c r="G42" i="17" s="1"/>
  <c r="I9" i="18"/>
  <c r="F10" i="18"/>
  <c r="C41" i="17" s="1"/>
  <c r="G41" i="17" s="1"/>
  <c r="I10" i="18"/>
  <c r="F7" i="18"/>
  <c r="I7" i="18"/>
  <c r="F11" i="18"/>
  <c r="C43" i="17" s="1"/>
  <c r="G43" i="17" s="1"/>
  <c r="I11" i="18"/>
  <c r="F8" i="18"/>
  <c r="I8" i="18"/>
  <c r="G36" i="17"/>
  <c r="C45" i="17"/>
  <c r="G45" i="17" s="1"/>
  <c r="D12" i="18"/>
  <c r="F6" i="18"/>
  <c r="C44" i="17"/>
  <c r="G44" i="17" s="1"/>
  <c r="I12" i="18" l="1"/>
  <c r="C22" i="17"/>
  <c r="G22" i="17" s="1"/>
  <c r="G20" i="17" s="1"/>
  <c r="G16" i="17" s="1"/>
  <c r="C37" i="17"/>
  <c r="C40" i="17"/>
  <c r="G40" i="17" s="1"/>
  <c r="G39" i="17" s="1"/>
  <c r="F12" i="18"/>
  <c r="C21" i="18" s="1"/>
  <c r="G12" i="18" s="1"/>
  <c r="C29" i="17" s="1"/>
  <c r="G29" i="17" s="1"/>
  <c r="G28" i="17" s="1"/>
  <c r="G37" i="17" l="1"/>
  <c r="G35" i="17" s="1"/>
  <c r="C46" i="17"/>
  <c r="G46" i="17" s="1"/>
  <c r="G38" i="17" s="1"/>
  <c r="C10" i="20"/>
  <c r="C95" i="17"/>
  <c r="C20" i="18"/>
  <c r="C9" i="20"/>
  <c r="G27" i="17" l="1"/>
  <c r="C11" i="20" s="1"/>
  <c r="G95" i="17"/>
  <c r="G96" i="17"/>
  <c r="C92" i="17"/>
  <c r="G94" i="17" l="1"/>
  <c r="C14" i="20" l="1"/>
  <c r="G104" i="17"/>
  <c r="G107" i="17" s="1"/>
  <c r="G106" i="17" s="1"/>
  <c r="E1" i="17" s="1"/>
  <c r="G109" i="17" l="1"/>
  <c r="C17" i="20"/>
  <c r="C18" i="20" s="1"/>
  <c r="C20" i="20"/>
  <c r="C1" i="17"/>
  <c r="F2" i="18"/>
  <c r="F16" i="18"/>
  <c r="F1" i="17"/>
  <c r="E18" i="20" l="1"/>
  <c r="E13" i="20"/>
  <c r="E8" i="20"/>
  <c r="E16" i="20"/>
  <c r="E7" i="20"/>
  <c r="E12" i="20"/>
  <c r="E15" i="20"/>
  <c r="E11" i="20"/>
  <c r="E10" i="20"/>
  <c r="E9" i="20"/>
  <c r="E14" i="20"/>
  <c r="C21" i="20"/>
  <c r="G17" i="20"/>
  <c r="E17" i="20"/>
</calcChain>
</file>

<file path=xl/sharedStrings.xml><?xml version="1.0" encoding="utf-8"?>
<sst xmlns="http://schemas.openxmlformats.org/spreadsheetml/2006/main" count="295" uniqueCount="235">
  <si>
    <t>Rubriques</t>
  </si>
  <si>
    <t>Total</t>
  </si>
  <si>
    <t>TOTAL</t>
  </si>
  <si>
    <t>N°</t>
  </si>
  <si>
    <t>Quantité</t>
  </si>
  <si>
    <t>Unité</t>
  </si>
  <si>
    <t>Cout unitaire</t>
  </si>
  <si>
    <t>Montant (FCFA)</t>
  </si>
  <si>
    <t>Travaux préparatoires</t>
  </si>
  <si>
    <t>1.1</t>
  </si>
  <si>
    <t>j</t>
  </si>
  <si>
    <t>1.2</t>
  </si>
  <si>
    <t>2.1</t>
  </si>
  <si>
    <t>2.2</t>
  </si>
  <si>
    <t>Communication</t>
  </si>
  <si>
    <t>forfait</t>
  </si>
  <si>
    <t>Location de salles</t>
  </si>
  <si>
    <t>Location de salles pour la formation des agents pour le dénombrement</t>
  </si>
  <si>
    <t>Rémunération du personnel de terrain</t>
  </si>
  <si>
    <t xml:space="preserve">Dotation pour frais de déplacement des chefs d'équipe dans la zone de travail </t>
  </si>
  <si>
    <t>Supervision et assurance de qualité</t>
  </si>
  <si>
    <t>Supervision technique</t>
  </si>
  <si>
    <t>Carburant pour la supervision technique</t>
  </si>
  <si>
    <t>tournée</t>
  </si>
  <si>
    <t>Location de véhicules pour la supervision technique</t>
  </si>
  <si>
    <t xml:space="preserve">         Axe nord</t>
  </si>
  <si>
    <t xml:space="preserve">         Axe centre-sud</t>
  </si>
  <si>
    <t>Déplacement du personnel de terrain</t>
  </si>
  <si>
    <t>Déplacement des agents enquêteurs et chefs d'équipe vers les zones de travail</t>
  </si>
  <si>
    <t>Aller-retour</t>
  </si>
  <si>
    <t xml:space="preserve">Dotation pour frais de déplacement des agents enquêteurs dans la zone de travail </t>
  </si>
  <si>
    <t>jour</t>
  </si>
  <si>
    <t>2.3</t>
  </si>
  <si>
    <t>2.4</t>
  </si>
  <si>
    <t>Communication et sensibilisation</t>
  </si>
  <si>
    <t>Collecte des données</t>
  </si>
  <si>
    <t>Supervision et assurance qualité</t>
  </si>
  <si>
    <t>Prix total de la proposition financière</t>
  </si>
  <si>
    <t>2.5</t>
  </si>
  <si>
    <t xml:space="preserve">    Ouémé-Plateau</t>
  </si>
  <si>
    <t xml:space="preserve">    Mono-Couffo</t>
  </si>
  <si>
    <t xml:space="preserve">    Zou-Collines</t>
  </si>
  <si>
    <t>Groupe d’activités par phase</t>
  </si>
  <si>
    <t>2.7</t>
  </si>
  <si>
    <t>Elaboration des documents techniques (questionnaire, manuel d'instruction aux agents enquêteurs et chefs d'équipes)</t>
  </si>
  <si>
    <t>Echantillonnage et élaboration du protocole d'échantillonnage</t>
  </si>
  <si>
    <t>Préparation des kits pour la collecte</t>
  </si>
  <si>
    <t>Impression des cartes des ZD</t>
  </si>
  <si>
    <t>Sensibilisation</t>
  </si>
  <si>
    <t>Forfait</t>
  </si>
  <si>
    <t>Dénombrement</t>
  </si>
  <si>
    <t>Formation des agents enquêteurs et chefs d'équipe pour le dénombrement</t>
  </si>
  <si>
    <t xml:space="preserve">    Atlantique-Littoral</t>
  </si>
  <si>
    <t xml:space="preserve">    Borgou-Alibori-Atacora-Donga</t>
  </si>
  <si>
    <t xml:space="preserve">                 Borgou Alibori</t>
  </si>
  <si>
    <t xml:space="preserve">                 Atacora Donga</t>
  </si>
  <si>
    <t xml:space="preserve">                 Zou Collines</t>
  </si>
  <si>
    <t xml:space="preserve">                 Atlantique-littoral </t>
  </si>
  <si>
    <t xml:space="preserve">                  Mono Couffo </t>
  </si>
  <si>
    <t xml:space="preserve">                  Ouémé Plateaux </t>
  </si>
  <si>
    <t xml:space="preserve">                 Borgou Alibori Collines 1</t>
  </si>
  <si>
    <t xml:space="preserve">                 Atacora Donga Collines 2</t>
  </si>
  <si>
    <t xml:space="preserve">                 Littoral-Ouémé-Plateaux</t>
  </si>
  <si>
    <t xml:space="preserve">                 Atlantique-Mono-Couffo-Zou</t>
  </si>
  <si>
    <t>mois</t>
  </si>
  <si>
    <t>Superviseurs techniques</t>
  </si>
  <si>
    <t>Atelier d'apurement des données et de tabulation</t>
  </si>
  <si>
    <t>Jour</t>
  </si>
  <si>
    <t>Frais de déplacement des participants vers le lieu de l'atelier</t>
  </si>
  <si>
    <t>Location de salle</t>
  </si>
  <si>
    <t>Pause café</t>
  </si>
  <si>
    <t>Bouteille d'eau minérale de 0,5L</t>
  </si>
  <si>
    <t>Eau minérale</t>
  </si>
  <si>
    <t>Kit de fournitures</t>
  </si>
  <si>
    <t>Frais de communication des chefs d'équipes</t>
  </si>
  <si>
    <t>Indemnités des agents enquêteurs</t>
  </si>
  <si>
    <t>Indemnités des chefs d'équipes</t>
  </si>
  <si>
    <t>Zone de travail</t>
  </si>
  <si>
    <t>AE</t>
  </si>
  <si>
    <t>CE</t>
  </si>
  <si>
    <t>Atlantique/Littoral</t>
  </si>
  <si>
    <t>Atacora/Donga</t>
  </si>
  <si>
    <t>Borgou/Alibori</t>
  </si>
  <si>
    <t>Mono/Couffo</t>
  </si>
  <si>
    <t>Ouémé/Plateau</t>
  </si>
  <si>
    <t>Zou/Collines</t>
  </si>
  <si>
    <t>Dépouillement fiches administratives</t>
  </si>
  <si>
    <t>Enquête ménages et entreprises</t>
  </si>
  <si>
    <t>Total agents de terrain</t>
  </si>
  <si>
    <t>Total agents à former</t>
  </si>
  <si>
    <t>Forfait Aller-retour</t>
  </si>
  <si>
    <t xml:space="preserve">Atelier pour l'analyse des données </t>
  </si>
  <si>
    <t>7.1</t>
  </si>
  <si>
    <t>8.1</t>
  </si>
  <si>
    <t>8.2</t>
  </si>
  <si>
    <t>9.1</t>
  </si>
  <si>
    <r>
      <t>Description</t>
    </r>
    <r>
      <rPr>
        <sz val="8"/>
        <color theme="1"/>
        <rFont val="Times New Roman"/>
        <family val="1"/>
      </rPr>
      <t>2</t>
    </r>
  </si>
  <si>
    <r>
      <t>Prix</t>
    </r>
    <r>
      <rPr>
        <sz val="8"/>
        <color theme="1"/>
        <rFont val="Times New Roman"/>
        <family val="1"/>
      </rPr>
      <t>3</t>
    </r>
  </si>
  <si>
    <t>Revue documentaire et élaboration des outils de collecte</t>
  </si>
  <si>
    <t>Coordination de l'étude</t>
  </si>
  <si>
    <t>Communication et sensibilisation pour la collecte principale</t>
  </si>
  <si>
    <t>Gestion des données et rédaction des rapports</t>
  </si>
  <si>
    <t>Monnaie nationale
(F CFA)</t>
  </si>
  <si>
    <t>Frais de sensibilisation des chefs quartiers/villages et guides</t>
  </si>
  <si>
    <t>Frais de communication de l'équipe technique</t>
  </si>
  <si>
    <t>Visa statistique par le CNS</t>
  </si>
  <si>
    <t>Souscription aux polices d'assurance</t>
  </si>
  <si>
    <t>Souscription à une police d'assurance au profit du personnel de terrain y compris les accidents de travail</t>
  </si>
  <si>
    <t>Formation du personnel de terrain</t>
  </si>
  <si>
    <t>Acquisition de fournitures de bureau et de terrain</t>
  </si>
  <si>
    <t>Honoraire et coordination de l'étude</t>
  </si>
  <si>
    <t>Visa statistique par le Conseil National de la Statistique (CNS)</t>
  </si>
  <si>
    <t>Assurance au profit du personnel de terrain</t>
  </si>
  <si>
    <t>Ménages</t>
  </si>
  <si>
    <t>Entreprises</t>
  </si>
  <si>
    <t>Formelles</t>
  </si>
  <si>
    <t>Informelles</t>
  </si>
  <si>
    <t>Nombre de jours de travail</t>
  </si>
  <si>
    <t>Nombre de questionnaires administrés par jour par agent</t>
  </si>
  <si>
    <t>Nombre total de questionnaires administrés</t>
  </si>
  <si>
    <t>Nombre total de questionnaires administrés par agent</t>
  </si>
  <si>
    <t>Nombre de CE</t>
  </si>
  <si>
    <t>Nombre d'AE</t>
  </si>
  <si>
    <t>Nombre total AE+CE</t>
  </si>
  <si>
    <t>Nombre d'agents à recruter</t>
  </si>
  <si>
    <t>Nombre de Superviseurs</t>
  </si>
  <si>
    <t>Enquête COVID PNUD 2020</t>
  </si>
  <si>
    <t>Traitement des données de l'enquête</t>
  </si>
  <si>
    <t>Acquisition de smartphones</t>
  </si>
  <si>
    <t>Kits de protection COVID-19</t>
  </si>
  <si>
    <t>Kits de protection COVID-19 (Gel hydroalcoolique, bavette, savon liquide, etc)</t>
  </si>
  <si>
    <t>Coordonation technique et administrative</t>
  </si>
  <si>
    <t>Supervision du projet-Chef de mission</t>
  </si>
  <si>
    <t>1.3</t>
  </si>
  <si>
    <t>Mission logistique, administrative et comptable</t>
  </si>
  <si>
    <t>Location de véhicules pour la mission logistique, administrative et comptable</t>
  </si>
  <si>
    <t>Carburant pour la mission logistique, administrative et comptable</t>
  </si>
  <si>
    <t>Acquisition de KIT contre COVID-19</t>
  </si>
  <si>
    <t xml:space="preserve">Indemnité des formateurs </t>
  </si>
  <si>
    <t>Enquête IMPACT COVID 19 PNUD</t>
  </si>
  <si>
    <t>3.1</t>
  </si>
  <si>
    <t>3.1.1</t>
  </si>
  <si>
    <t>3.1.2</t>
  </si>
  <si>
    <t>3.2</t>
  </si>
  <si>
    <t>3.2.1</t>
  </si>
  <si>
    <t>3.2.2</t>
  </si>
  <si>
    <t>3.2.3</t>
  </si>
  <si>
    <t>5.1</t>
  </si>
  <si>
    <t>5.1.1</t>
  </si>
  <si>
    <t>5.1.2</t>
  </si>
  <si>
    <t>5.1.3</t>
  </si>
  <si>
    <t>5.1.4</t>
  </si>
  <si>
    <t>5.2</t>
  </si>
  <si>
    <t>5.2.1</t>
  </si>
  <si>
    <t>5.3</t>
  </si>
  <si>
    <t>5.3.1</t>
  </si>
  <si>
    <t>5.3.2</t>
  </si>
  <si>
    <t>5.4</t>
  </si>
  <si>
    <t>5.4.1</t>
  </si>
  <si>
    <t>5.4.1.1</t>
  </si>
  <si>
    <t>5.4.1.2</t>
  </si>
  <si>
    <t>5.4.1.3</t>
  </si>
  <si>
    <t>5.4.1.4</t>
  </si>
  <si>
    <t>5.4.1.5</t>
  </si>
  <si>
    <t>5.4.2</t>
  </si>
  <si>
    <t>5.4.3</t>
  </si>
  <si>
    <t>5.4.4</t>
  </si>
  <si>
    <t>5.5</t>
  </si>
  <si>
    <t>5.5.1</t>
  </si>
  <si>
    <t>5.5.1.1</t>
  </si>
  <si>
    <t>5.5.1.2</t>
  </si>
  <si>
    <t>5.5.2</t>
  </si>
  <si>
    <t>5.5.2.1</t>
  </si>
  <si>
    <t>5.5.2.2</t>
  </si>
  <si>
    <t>5.5.2.3</t>
  </si>
  <si>
    <t>5.5.2.4</t>
  </si>
  <si>
    <t>5.5.2.5</t>
  </si>
  <si>
    <t>5.5.2.6</t>
  </si>
  <si>
    <t>5.5.3</t>
  </si>
  <si>
    <t>5.5.3.1</t>
  </si>
  <si>
    <t>5.5.3.2</t>
  </si>
  <si>
    <t>5.5.4</t>
  </si>
  <si>
    <t>5.5.4.1</t>
  </si>
  <si>
    <t>5.5.4.2</t>
  </si>
  <si>
    <t>5.5.5</t>
  </si>
  <si>
    <t>5.5.5.1</t>
  </si>
  <si>
    <t>5.5.5.2</t>
  </si>
  <si>
    <t>5.5.5.3</t>
  </si>
  <si>
    <t>5.5.5.4</t>
  </si>
  <si>
    <t>5.5.6</t>
  </si>
  <si>
    <t>5.5.6.1</t>
  </si>
  <si>
    <t>5.5.6.2</t>
  </si>
  <si>
    <t>6.1</t>
  </si>
  <si>
    <t>6.1.1</t>
  </si>
  <si>
    <t>6.1.2</t>
  </si>
  <si>
    <t>6.1.3</t>
  </si>
  <si>
    <t>6.1.4</t>
  </si>
  <si>
    <t>6.1.5</t>
  </si>
  <si>
    <t>6.1.6</t>
  </si>
  <si>
    <t>6.2</t>
  </si>
  <si>
    <t>6.2.1</t>
  </si>
  <si>
    <t>6.2.2</t>
  </si>
  <si>
    <t>6.2.3</t>
  </si>
  <si>
    <t>6.2.4</t>
  </si>
  <si>
    <t>6.2.5</t>
  </si>
  <si>
    <t>6.2.6</t>
  </si>
  <si>
    <t>PM</t>
  </si>
  <si>
    <t>Per diem des participants pour la phase d'apurement</t>
  </si>
  <si>
    <t>Per diem des participants pour la phase d'analyse des données</t>
  </si>
  <si>
    <t>Fournitures (Bloc note, papier A4, Stylo, etc.)</t>
  </si>
  <si>
    <t>Acquisition de téléphones</t>
  </si>
  <si>
    <t>Communiqués sur les médias (Radio-Communautaires)</t>
  </si>
  <si>
    <t>Frais de communication des agents enquêteurs</t>
  </si>
  <si>
    <t>Indemnité des superviseurs</t>
  </si>
  <si>
    <t>Indemnité des chauffeurs pour la supervision technique</t>
  </si>
  <si>
    <t>Indemnité des cadres</t>
  </si>
  <si>
    <t>Indemnité des chauffeurs pour la mission logistique</t>
  </si>
  <si>
    <t>8.3</t>
  </si>
  <si>
    <t>Acquisition de Power Bank</t>
  </si>
  <si>
    <t>Ordinateur, Téléphones et smartphones</t>
  </si>
  <si>
    <t>8.4</t>
  </si>
  <si>
    <t>Ordinateur portable</t>
  </si>
  <si>
    <t>Fournitures de bureau et de terrain (y compris formation)</t>
  </si>
  <si>
    <t>Indemnité d'un CVA de l'INSAE pour la liaison</t>
  </si>
  <si>
    <t>Indemnité pour secrétariat à l'atelier de formation du personnel de terrain</t>
  </si>
  <si>
    <t>Indemnité Agents enquêteurs et chefs d'équipe (dont réservistes)</t>
  </si>
  <si>
    <t>Autres frais</t>
  </si>
  <si>
    <t>Sous total</t>
  </si>
  <si>
    <t>11.1</t>
  </si>
  <si>
    <t>Frais institutionnels (5%)</t>
  </si>
  <si>
    <t>Genre</t>
  </si>
  <si>
    <t>Frais de déplacement des participants au focus group</t>
  </si>
  <si>
    <t>personnes</t>
  </si>
  <si>
    <t>Assistance technique pour la Conception et l'écriture du questionnaire sur CAPI</t>
  </si>
  <si>
    <t>Complement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</si>
</sst>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rgb="FFFF000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rebuchet MS"/>
      <family val="2"/>
    </font>
    <font>
      <sz val="10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 indent="1"/>
    </xf>
    <xf numFmtId="3" fontId="4" fillId="0" borderId="5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 indent="2"/>
    </xf>
    <xf numFmtId="0" fontId="4" fillId="0" borderId="5" xfId="0" applyFont="1" applyBorder="1" applyAlignment="1">
      <alignment vertical="center"/>
    </xf>
    <xf numFmtId="3" fontId="0" fillId="0" borderId="0" xfId="0" applyNumberFormat="1"/>
    <xf numFmtId="164" fontId="0" fillId="0" borderId="0" xfId="1" applyNumberFormat="1" applyFont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/>
    <xf numFmtId="0" fontId="0" fillId="0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8" xfId="0" applyFont="1" applyBorder="1" applyAlignment="1">
      <alignment horizontal="left" vertical="center" wrapText="1" indent="9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3" fontId="0" fillId="3" borderId="0" xfId="0" applyNumberFormat="1" applyFill="1"/>
    <xf numFmtId="0" fontId="0" fillId="0" borderId="18" xfId="0" applyFill="1" applyBorder="1"/>
    <xf numFmtId="3" fontId="1" fillId="5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indent="1"/>
    </xf>
    <xf numFmtId="3" fontId="3" fillId="0" borderId="0" xfId="0" applyNumberFormat="1" applyFont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2"/>
    </xf>
    <xf numFmtId="3" fontId="2" fillId="0" borderId="5" xfId="0" applyNumberFormat="1" applyFont="1" applyBorder="1" applyAlignment="1">
      <alignment vertical="center"/>
    </xf>
    <xf numFmtId="0" fontId="0" fillId="0" borderId="1" xfId="0" applyBorder="1" applyAlignment="1">
      <alignment horizontal="left" indent="2"/>
    </xf>
    <xf numFmtId="3" fontId="0" fillId="0" borderId="1" xfId="0" applyNumberFormat="1" applyBorder="1"/>
    <xf numFmtId="0" fontId="7" fillId="0" borderId="1" xfId="0" applyFont="1" applyBorder="1"/>
    <xf numFmtId="3" fontId="7" fillId="0" borderId="1" xfId="0" applyNumberFormat="1" applyFont="1" applyBorder="1"/>
    <xf numFmtId="1" fontId="0" fillId="0" borderId="1" xfId="0" applyNumberFormat="1" applyBorder="1"/>
    <xf numFmtId="3" fontId="3" fillId="6" borderId="5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left" vertical="center" wrapText="1" indent="2"/>
    </xf>
    <xf numFmtId="2" fontId="0" fillId="0" borderId="0" xfId="0" applyNumberFormat="1"/>
    <xf numFmtId="0" fontId="3" fillId="0" borderId="4" xfId="0" applyFont="1" applyFill="1" applyBorder="1" applyAlignment="1">
      <alignment vertical="center" wrapText="1"/>
    </xf>
    <xf numFmtId="3" fontId="0" fillId="0" borderId="1" xfId="0" applyNumberFormat="1" applyFill="1" applyBorder="1"/>
    <xf numFmtId="0" fontId="3" fillId="0" borderId="0" xfId="0" applyFont="1" applyFill="1" applyAlignment="1">
      <alignment horizontal="right" vertical="center"/>
    </xf>
    <xf numFmtId="165" fontId="3" fillId="3" borderId="5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13" zoomScaleNormal="100" workbookViewId="0">
      <selection activeCell="F29" sqref="F29"/>
    </sheetView>
  </sheetViews>
  <sheetFormatPr defaultColWidth="10.90625" defaultRowHeight="14.5" x14ac:dyDescent="0.35"/>
  <cols>
    <col min="2" max="2" width="46.26953125" customWidth="1"/>
    <col min="3" max="4" width="7.7265625" customWidth="1"/>
    <col min="5" max="5" width="12" customWidth="1"/>
    <col min="6" max="6" width="18.1796875" customWidth="1"/>
    <col min="8" max="8" width="11.54296875" customWidth="1"/>
  </cols>
  <sheetData>
    <row r="2" spans="1:9" x14ac:dyDescent="0.35">
      <c r="F2" s="30">
        <f>'BUDGET Enquete COVID PNUD'!E1</f>
        <v>74944800</v>
      </c>
    </row>
    <row r="3" spans="1:9" x14ac:dyDescent="0.35">
      <c r="B3" t="s">
        <v>126</v>
      </c>
    </row>
    <row r="4" spans="1:9" ht="45" customHeight="1" x14ac:dyDescent="0.35">
      <c r="B4" s="1"/>
      <c r="C4" s="83" t="s">
        <v>87</v>
      </c>
      <c r="D4" s="84"/>
      <c r="E4" s="48" t="s">
        <v>86</v>
      </c>
      <c r="F4" s="81" t="s">
        <v>88</v>
      </c>
      <c r="G4" s="81" t="s">
        <v>89</v>
      </c>
      <c r="H4" t="s">
        <v>234</v>
      </c>
    </row>
    <row r="5" spans="1:9" x14ac:dyDescent="0.35">
      <c r="B5" s="1" t="s">
        <v>77</v>
      </c>
      <c r="C5" s="49" t="s">
        <v>78</v>
      </c>
      <c r="D5" s="49" t="s">
        <v>79</v>
      </c>
      <c r="E5" s="49" t="s">
        <v>78</v>
      </c>
      <c r="F5" s="82"/>
      <c r="G5" s="82"/>
    </row>
    <row r="6" spans="1:9" x14ac:dyDescent="0.35">
      <c r="A6">
        <v>22</v>
      </c>
      <c r="B6" s="1" t="s">
        <v>80</v>
      </c>
      <c r="C6" s="73">
        <v>20</v>
      </c>
      <c r="D6" s="73">
        <f>ROUND(C6/$C$12*15,0)</f>
        <v>5</v>
      </c>
      <c r="E6" s="1">
        <v>0</v>
      </c>
      <c r="F6" s="73">
        <f>ROUND(SUM(C6:E6),0)</f>
        <v>25</v>
      </c>
      <c r="G6" s="1"/>
      <c r="I6" s="76">
        <f>4*D6</f>
        <v>20</v>
      </c>
    </row>
    <row r="7" spans="1:9" x14ac:dyDescent="0.35">
      <c r="A7">
        <v>9</v>
      </c>
      <c r="B7" s="1" t="s">
        <v>81</v>
      </c>
      <c r="C7" s="73">
        <v>6</v>
      </c>
      <c r="D7" s="73">
        <f>ROUND(C7/$C$12*15,0)</f>
        <v>2</v>
      </c>
      <c r="E7" s="1">
        <v>0</v>
      </c>
      <c r="F7" s="73">
        <f t="shared" ref="F7:F11" si="0">ROUND(SUM(C7:E7),0)</f>
        <v>8</v>
      </c>
      <c r="G7" s="1"/>
      <c r="I7" s="76">
        <f t="shared" ref="I7:I11" si="1">4*D7</f>
        <v>8</v>
      </c>
    </row>
    <row r="8" spans="1:9" x14ac:dyDescent="0.35">
      <c r="A8">
        <v>12</v>
      </c>
      <c r="B8" s="1" t="s">
        <v>82</v>
      </c>
      <c r="C8" s="73">
        <v>6</v>
      </c>
      <c r="D8" s="73">
        <f>ROUND(C8/$C$12*15,0)</f>
        <v>2</v>
      </c>
      <c r="E8" s="1">
        <v>0</v>
      </c>
      <c r="F8" s="73">
        <f t="shared" si="0"/>
        <v>8</v>
      </c>
      <c r="G8" s="1"/>
      <c r="I8" s="76">
        <f t="shared" si="1"/>
        <v>8</v>
      </c>
    </row>
    <row r="9" spans="1:9" x14ac:dyDescent="0.35">
      <c r="A9">
        <v>8</v>
      </c>
      <c r="B9" s="1" t="s">
        <v>83</v>
      </c>
      <c r="C9" s="73">
        <v>8</v>
      </c>
      <c r="D9" s="73">
        <f t="shared" ref="D9:D11" si="2">ROUND(C9/$C$12*15,0)</f>
        <v>2</v>
      </c>
      <c r="E9" s="1">
        <v>0</v>
      </c>
      <c r="F9" s="73">
        <f t="shared" si="0"/>
        <v>10</v>
      </c>
      <c r="G9" s="1"/>
      <c r="I9" s="76">
        <f t="shared" si="1"/>
        <v>8</v>
      </c>
    </row>
    <row r="10" spans="1:9" x14ac:dyDescent="0.35">
      <c r="A10">
        <v>10</v>
      </c>
      <c r="B10" s="1" t="s">
        <v>84</v>
      </c>
      <c r="C10" s="73">
        <v>12</v>
      </c>
      <c r="D10" s="73">
        <f t="shared" si="2"/>
        <v>3</v>
      </c>
      <c r="E10" s="1">
        <v>0</v>
      </c>
      <c r="F10" s="73">
        <f t="shared" si="0"/>
        <v>15</v>
      </c>
      <c r="G10" s="1"/>
      <c r="I10" s="76">
        <f t="shared" si="1"/>
        <v>12</v>
      </c>
    </row>
    <row r="11" spans="1:9" x14ac:dyDescent="0.35">
      <c r="A11">
        <v>9</v>
      </c>
      <c r="B11" s="1" t="s">
        <v>85</v>
      </c>
      <c r="C11" s="73">
        <v>8</v>
      </c>
      <c r="D11" s="73">
        <f t="shared" si="2"/>
        <v>2</v>
      </c>
      <c r="E11" s="1">
        <v>0</v>
      </c>
      <c r="F11" s="73">
        <f t="shared" si="0"/>
        <v>10</v>
      </c>
      <c r="G11" s="1"/>
      <c r="I11" s="76">
        <f t="shared" si="1"/>
        <v>8</v>
      </c>
    </row>
    <row r="12" spans="1:9" x14ac:dyDescent="0.35">
      <c r="A12">
        <v>70</v>
      </c>
      <c r="B12" s="1" t="s">
        <v>1</v>
      </c>
      <c r="C12" s="1">
        <f>SUM(C6:C11)</f>
        <v>60</v>
      </c>
      <c r="D12" s="73">
        <f>SUM(D6:D11)</f>
        <v>16</v>
      </c>
      <c r="E12" s="47">
        <f>SUM(E6:E11)</f>
        <v>0</v>
      </c>
      <c r="F12" s="73">
        <f>SUM(F6:F11)</f>
        <v>76</v>
      </c>
      <c r="G12" s="70">
        <f>C21*1.1</f>
        <v>83.600000000000009</v>
      </c>
      <c r="H12" s="56"/>
      <c r="I12" s="73">
        <f>SUM(I6:I11)</f>
        <v>64</v>
      </c>
    </row>
    <row r="14" spans="1:9" x14ac:dyDescent="0.35">
      <c r="B14" s="1" t="s">
        <v>118</v>
      </c>
      <c r="C14" s="78">
        <f>C17/(C18*C15)</f>
        <v>6.8480582570691455</v>
      </c>
      <c r="D14" s="1"/>
      <c r="E14" s="1"/>
      <c r="F14" s="1"/>
      <c r="G14" s="1"/>
    </row>
    <row r="15" spans="1:9" x14ac:dyDescent="0.35">
      <c r="B15" s="1" t="s">
        <v>117</v>
      </c>
      <c r="C15" s="70">
        <v>10</v>
      </c>
      <c r="D15" s="1"/>
      <c r="E15" s="1"/>
      <c r="F15" s="1"/>
      <c r="G15" s="1"/>
    </row>
    <row r="16" spans="1:9" x14ac:dyDescent="0.35">
      <c r="B16" s="1" t="s">
        <v>120</v>
      </c>
      <c r="C16" s="70">
        <f>C15*C14</f>
        <v>68.480582570691453</v>
      </c>
      <c r="D16" s="1"/>
      <c r="E16" s="1"/>
      <c r="F16" s="70">
        <f>'BUDGET Enquete COVID PNUD'!E1</f>
        <v>74944800</v>
      </c>
      <c r="G16" s="1"/>
    </row>
    <row r="17" spans="2:7" x14ac:dyDescent="0.35">
      <c r="B17" s="1" t="s">
        <v>119</v>
      </c>
      <c r="C17" s="70">
        <v>4108.8349542414871</v>
      </c>
      <c r="D17" s="1"/>
      <c r="E17" s="1"/>
      <c r="F17" s="1"/>
      <c r="G17" s="1"/>
    </row>
    <row r="18" spans="2:7" x14ac:dyDescent="0.35">
      <c r="B18" s="1" t="s">
        <v>122</v>
      </c>
      <c r="C18" s="70">
        <f>C12</f>
        <v>60</v>
      </c>
      <c r="D18" s="1"/>
      <c r="E18" s="1"/>
      <c r="F18" s="1"/>
      <c r="G18" s="1"/>
    </row>
    <row r="19" spans="2:7" x14ac:dyDescent="0.35">
      <c r="B19" s="1" t="s">
        <v>121</v>
      </c>
      <c r="C19" s="70">
        <f>D12</f>
        <v>16</v>
      </c>
      <c r="D19" s="1"/>
      <c r="E19" s="1"/>
      <c r="F19" s="1"/>
      <c r="G19" s="1"/>
    </row>
    <row r="20" spans="2:7" x14ac:dyDescent="0.35">
      <c r="B20" s="1" t="s">
        <v>123</v>
      </c>
      <c r="C20" s="70">
        <f>C18+C19</f>
        <v>76</v>
      </c>
      <c r="D20" s="1"/>
      <c r="E20" s="1"/>
      <c r="F20" s="1"/>
      <c r="G20" s="1"/>
    </row>
    <row r="21" spans="2:7" x14ac:dyDescent="0.35">
      <c r="B21" s="1" t="s">
        <v>124</v>
      </c>
      <c r="C21" s="70">
        <f>F12</f>
        <v>76</v>
      </c>
      <c r="D21" s="1"/>
      <c r="E21" s="1"/>
      <c r="F21" s="1"/>
      <c r="G21" s="1"/>
    </row>
    <row r="22" spans="2:7" x14ac:dyDescent="0.35">
      <c r="B22" s="1" t="s">
        <v>125</v>
      </c>
      <c r="C22" s="78">
        <v>12</v>
      </c>
      <c r="D22" s="1"/>
      <c r="E22" s="1"/>
      <c r="F22" s="1"/>
      <c r="G22" s="1"/>
    </row>
    <row r="23" spans="2:7" x14ac:dyDescent="0.35">
      <c r="B23" s="1"/>
      <c r="C23" s="70"/>
      <c r="D23" s="1"/>
      <c r="E23" s="1"/>
      <c r="F23" s="1"/>
      <c r="G23" s="1"/>
    </row>
    <row r="24" spans="2:7" x14ac:dyDescent="0.35">
      <c r="B24" s="1"/>
      <c r="C24" s="70"/>
      <c r="D24" s="1"/>
      <c r="E24" s="1"/>
      <c r="F24" s="1"/>
      <c r="G24" s="1"/>
    </row>
    <row r="25" spans="2:7" x14ac:dyDescent="0.35">
      <c r="B25" s="1" t="s">
        <v>113</v>
      </c>
      <c r="C25" s="78">
        <v>2424</v>
      </c>
      <c r="D25" s="1"/>
      <c r="E25" s="1"/>
      <c r="F25" s="1"/>
      <c r="G25" s="1"/>
    </row>
    <row r="26" spans="2:7" x14ac:dyDescent="0.35">
      <c r="B26" s="69" t="s">
        <v>230</v>
      </c>
      <c r="C26" s="78">
        <v>6653.6261060826309</v>
      </c>
      <c r="D26" s="1"/>
      <c r="E26" s="1"/>
      <c r="F26" s="1"/>
      <c r="G26" s="1"/>
    </row>
    <row r="27" spans="2:7" x14ac:dyDescent="0.35">
      <c r="B27" s="1" t="s">
        <v>114</v>
      </c>
      <c r="C27" s="70">
        <f>C28+C29</f>
        <v>1683.8349542414874</v>
      </c>
      <c r="D27" s="1"/>
      <c r="E27" s="1"/>
      <c r="F27" s="1"/>
      <c r="G27" s="1"/>
    </row>
    <row r="28" spans="2:7" x14ac:dyDescent="0.35">
      <c r="B28" s="69" t="s">
        <v>115</v>
      </c>
      <c r="C28" s="70">
        <v>300</v>
      </c>
      <c r="D28" s="1"/>
      <c r="E28" s="1"/>
      <c r="F28" s="1"/>
      <c r="G28" s="1"/>
    </row>
    <row r="29" spans="2:7" x14ac:dyDescent="0.35">
      <c r="B29" s="69" t="s">
        <v>116</v>
      </c>
      <c r="C29" s="70">
        <v>1383.8349542414874</v>
      </c>
      <c r="D29" s="1"/>
      <c r="E29" s="1"/>
      <c r="F29" s="1"/>
      <c r="G29" s="1"/>
    </row>
    <row r="30" spans="2:7" x14ac:dyDescent="0.35">
      <c r="B30" s="71" t="s">
        <v>1</v>
      </c>
      <c r="C30" s="72">
        <f>C17</f>
        <v>4108.8349542414871</v>
      </c>
      <c r="D30" s="1"/>
      <c r="E30" s="1"/>
      <c r="F30" s="1"/>
      <c r="G30" s="1"/>
    </row>
    <row r="31" spans="2:7" x14ac:dyDescent="0.35">
      <c r="B31" s="1"/>
      <c r="C31" s="1"/>
      <c r="D31" s="1"/>
      <c r="E31" s="1"/>
      <c r="F31" s="1"/>
      <c r="G31" s="1"/>
    </row>
    <row r="32" spans="2:7" x14ac:dyDescent="0.35">
      <c r="B32" s="1"/>
      <c r="C32" s="1"/>
      <c r="D32" s="1"/>
      <c r="E32" s="1"/>
      <c r="F32" s="1"/>
      <c r="G32" s="1"/>
    </row>
    <row r="33" spans="2:7" x14ac:dyDescent="0.35">
      <c r="B33" s="1"/>
      <c r="C33" s="1"/>
      <c r="D33" s="1"/>
      <c r="E33" s="1"/>
      <c r="F33" s="1"/>
      <c r="G33" s="1"/>
    </row>
  </sheetData>
  <mergeCells count="3">
    <mergeCell ref="F4:F5"/>
    <mergeCell ref="C4:D4"/>
    <mergeCell ref="G4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3"/>
  <sheetViews>
    <sheetView tabSelected="1" zoomScale="130" zoomScaleNormal="130" workbookViewId="0">
      <pane xSplit="2" ySplit="2" topLeftCell="C92" activePane="bottomRight" state="frozen"/>
      <selection pane="topRight" activeCell="B1" sqref="B1"/>
      <selection pane="bottomLeft" activeCell="A4" sqref="A4"/>
      <selection pane="bottomRight" activeCell="A3" sqref="A3:G109"/>
    </sheetView>
  </sheetViews>
  <sheetFormatPr defaultColWidth="11.453125" defaultRowHeight="13.5" x14ac:dyDescent="0.35"/>
  <cols>
    <col min="1" max="1" width="5.26953125" style="33" customWidth="1"/>
    <col min="2" max="2" width="52.1796875" style="3" customWidth="1"/>
    <col min="3" max="3" width="11.1796875" style="3" bestFit="1" customWidth="1"/>
    <col min="4" max="4" width="6.54296875" style="3" bestFit="1" customWidth="1"/>
    <col min="5" max="5" width="10.453125" style="3" customWidth="1"/>
    <col min="6" max="6" width="9.453125" style="3" customWidth="1"/>
    <col min="7" max="7" width="12.453125" style="3" bestFit="1" customWidth="1"/>
    <col min="8" max="16384" width="11.453125" style="3"/>
  </cols>
  <sheetData>
    <row r="1" spans="1:7" ht="14" thickBot="1" x14ac:dyDescent="0.4">
      <c r="B1" s="2" t="s">
        <v>139</v>
      </c>
      <c r="C1" s="57">
        <f>62000000-E1</f>
        <v>-12944800</v>
      </c>
      <c r="D1" s="23">
        <v>580</v>
      </c>
      <c r="E1" s="58">
        <f>G3+G8+G16+G25+G27+G74+G91+G94+G101+G106</f>
        <v>74944800</v>
      </c>
      <c r="F1" s="4">
        <f>E1/D1</f>
        <v>129215.1724137931</v>
      </c>
      <c r="G1" s="4"/>
    </row>
    <row r="2" spans="1:7" s="34" customFormat="1" ht="28" thickTop="1" thickBot="1" x14ac:dyDescent="0.4">
      <c r="A2" s="5" t="s">
        <v>3</v>
      </c>
      <c r="B2" s="5" t="s">
        <v>0</v>
      </c>
      <c r="C2" s="6" t="s">
        <v>4</v>
      </c>
      <c r="D2" s="6" t="s">
        <v>5</v>
      </c>
      <c r="E2" s="6"/>
      <c r="F2" s="7" t="s">
        <v>6</v>
      </c>
      <c r="G2" s="8" t="s">
        <v>7</v>
      </c>
    </row>
    <row r="3" spans="1:7" ht="14" thickTop="1" x14ac:dyDescent="0.35">
      <c r="A3" s="9">
        <v>1</v>
      </c>
      <c r="B3" s="10" t="s">
        <v>99</v>
      </c>
      <c r="C3" s="11"/>
      <c r="D3" s="11"/>
      <c r="E3" s="11"/>
      <c r="F3" s="11"/>
      <c r="G3" s="12">
        <f>SUM(G4:G6)</f>
        <v>1725000</v>
      </c>
    </row>
    <row r="4" spans="1:7" x14ac:dyDescent="0.35">
      <c r="A4" s="35" t="s">
        <v>9</v>
      </c>
      <c r="B4" s="13" t="s">
        <v>132</v>
      </c>
      <c r="C4" s="14">
        <v>1</v>
      </c>
      <c r="D4" s="80">
        <v>1.5</v>
      </c>
      <c r="E4" s="14" t="s">
        <v>64</v>
      </c>
      <c r="F4" s="61">
        <v>200000</v>
      </c>
      <c r="G4" s="15">
        <f>+F4*D4*C4</f>
        <v>300000</v>
      </c>
    </row>
    <row r="5" spans="1:7" x14ac:dyDescent="0.35">
      <c r="A5" s="35" t="s">
        <v>11</v>
      </c>
      <c r="B5" s="13" t="s">
        <v>131</v>
      </c>
      <c r="C5" s="14">
        <v>3</v>
      </c>
      <c r="D5" s="80">
        <v>1.5</v>
      </c>
      <c r="E5" s="14" t="s">
        <v>64</v>
      </c>
      <c r="F5" s="61">
        <v>150000</v>
      </c>
      <c r="G5" s="15">
        <f>+F5*D5*C5</f>
        <v>675000</v>
      </c>
    </row>
    <row r="6" spans="1:7" x14ac:dyDescent="0.35">
      <c r="A6" s="35" t="s">
        <v>133</v>
      </c>
      <c r="B6" s="13" t="s">
        <v>65</v>
      </c>
      <c r="C6" s="15">
        <v>5</v>
      </c>
      <c r="D6" s="80">
        <v>1.5</v>
      </c>
      <c r="E6" s="14" t="s">
        <v>64</v>
      </c>
      <c r="F6" s="61">
        <v>100000</v>
      </c>
      <c r="G6" s="15">
        <f>+F6*D6*C6</f>
        <v>750000</v>
      </c>
    </row>
    <row r="7" spans="1:7" s="34" customFormat="1" x14ac:dyDescent="0.35">
      <c r="A7" s="42"/>
      <c r="B7" s="42"/>
      <c r="C7" s="43"/>
      <c r="D7" s="43"/>
      <c r="E7" s="43"/>
      <c r="F7" s="44"/>
      <c r="G7" s="45"/>
    </row>
    <row r="8" spans="1:7" x14ac:dyDescent="0.35">
      <c r="A8" s="9">
        <v>2</v>
      </c>
      <c r="B8" s="10" t="s">
        <v>8</v>
      </c>
      <c r="C8" s="11"/>
      <c r="D8" s="11"/>
      <c r="E8" s="11"/>
      <c r="F8" s="11"/>
      <c r="G8" s="12">
        <f>SUM(G9:G14)</f>
        <v>3035000</v>
      </c>
    </row>
    <row r="9" spans="1:7" ht="40.5" x14ac:dyDescent="0.35">
      <c r="A9" s="35" t="s">
        <v>12</v>
      </c>
      <c r="B9" s="13" t="s">
        <v>44</v>
      </c>
      <c r="C9" s="61">
        <f>'Personnel de terrain'!C22/2</f>
        <v>6</v>
      </c>
      <c r="D9" s="61">
        <v>5</v>
      </c>
      <c r="E9" s="14" t="s">
        <v>10</v>
      </c>
      <c r="F9" s="15">
        <v>15000</v>
      </c>
      <c r="G9" s="15">
        <f>+F9*D9*C9</f>
        <v>450000</v>
      </c>
    </row>
    <row r="10" spans="1:7" ht="27" x14ac:dyDescent="0.35">
      <c r="A10" s="35" t="s">
        <v>13</v>
      </c>
      <c r="B10" s="13" t="s">
        <v>233</v>
      </c>
      <c r="C10" s="61"/>
      <c r="D10" s="61"/>
      <c r="E10" s="14" t="s">
        <v>49</v>
      </c>
      <c r="F10" s="15"/>
      <c r="G10" s="15">
        <v>1500000</v>
      </c>
    </row>
    <row r="11" spans="1:7" ht="27" x14ac:dyDescent="0.35">
      <c r="A11" s="35" t="s">
        <v>32</v>
      </c>
      <c r="B11" s="13" t="s">
        <v>45</v>
      </c>
      <c r="C11" s="61">
        <f>C9/2</f>
        <v>3</v>
      </c>
      <c r="D11" s="61">
        <v>5</v>
      </c>
      <c r="E11" s="14" t="s">
        <v>10</v>
      </c>
      <c r="F11" s="15">
        <v>15000</v>
      </c>
      <c r="G11" s="15">
        <f>+F11*D11*C11</f>
        <v>225000</v>
      </c>
    </row>
    <row r="12" spans="1:7" x14ac:dyDescent="0.35">
      <c r="A12" s="35" t="s">
        <v>33</v>
      </c>
      <c r="B12" s="13" t="s">
        <v>46</v>
      </c>
      <c r="C12" s="14">
        <v>3</v>
      </c>
      <c r="D12" s="14">
        <v>3</v>
      </c>
      <c r="E12" s="14" t="s">
        <v>10</v>
      </c>
      <c r="F12" s="15">
        <v>15000</v>
      </c>
      <c r="G12" s="15">
        <f>+F12*D12*C12</f>
        <v>135000</v>
      </c>
    </row>
    <row r="13" spans="1:7" x14ac:dyDescent="0.35">
      <c r="A13" s="35" t="s">
        <v>38</v>
      </c>
      <c r="B13" s="13" t="s">
        <v>47</v>
      </c>
      <c r="C13" s="14">
        <v>3</v>
      </c>
      <c r="D13" s="14">
        <v>5</v>
      </c>
      <c r="E13" s="14" t="s">
        <v>10</v>
      </c>
      <c r="F13" s="15">
        <v>15000</v>
      </c>
      <c r="G13" s="15">
        <f>+F13*D13*C13</f>
        <v>225000</v>
      </c>
    </row>
    <row r="14" spans="1:7" x14ac:dyDescent="0.35">
      <c r="A14" s="35" t="s">
        <v>43</v>
      </c>
      <c r="B14" s="59" t="s">
        <v>105</v>
      </c>
      <c r="C14" s="16"/>
      <c r="D14" s="16"/>
      <c r="E14" s="16"/>
      <c r="F14" s="18"/>
      <c r="G14" s="18">
        <v>500000</v>
      </c>
    </row>
    <row r="15" spans="1:7" x14ac:dyDescent="0.35">
      <c r="A15" s="35"/>
      <c r="B15" s="13"/>
      <c r="C15" s="14"/>
      <c r="D15" s="14"/>
      <c r="E15" s="14"/>
      <c r="F15" s="15"/>
      <c r="G15" s="18"/>
    </row>
    <row r="16" spans="1:7" s="36" customFormat="1" ht="27" x14ac:dyDescent="0.35">
      <c r="A16" s="9">
        <v>3</v>
      </c>
      <c r="B16" s="10" t="s">
        <v>100</v>
      </c>
      <c r="C16" s="11"/>
      <c r="D16" s="11"/>
      <c r="E16" s="11"/>
      <c r="F16" s="11"/>
      <c r="G16" s="12">
        <f>G17+G20</f>
        <v>5470000</v>
      </c>
    </row>
    <row r="17" spans="1:9" s="36" customFormat="1" x14ac:dyDescent="0.35">
      <c r="A17" s="35" t="s">
        <v>140</v>
      </c>
      <c r="B17" s="19" t="s">
        <v>48</v>
      </c>
      <c r="C17" s="21"/>
      <c r="D17" s="14"/>
      <c r="E17" s="14"/>
      <c r="F17" s="15"/>
      <c r="G17" s="20">
        <f>SUM(G18:G19)</f>
        <v>3000000</v>
      </c>
    </row>
    <row r="18" spans="1:9" s="36" customFormat="1" ht="27" x14ac:dyDescent="0.35">
      <c r="A18" s="35" t="s">
        <v>141</v>
      </c>
      <c r="B18" s="37" t="s">
        <v>103</v>
      </c>
      <c r="C18" s="14"/>
      <c r="D18" s="14"/>
      <c r="E18" s="14" t="s">
        <v>49</v>
      </c>
      <c r="F18" s="15"/>
      <c r="G18" s="15">
        <v>2000000</v>
      </c>
    </row>
    <row r="19" spans="1:9" s="36" customFormat="1" x14ac:dyDescent="0.35">
      <c r="A19" s="35" t="s">
        <v>142</v>
      </c>
      <c r="B19" s="75" t="s">
        <v>211</v>
      </c>
      <c r="C19" s="14"/>
      <c r="D19" s="14"/>
      <c r="E19" s="14" t="s">
        <v>49</v>
      </c>
      <c r="F19" s="15"/>
      <c r="G19" s="15">
        <v>1000000</v>
      </c>
    </row>
    <row r="20" spans="1:9" s="36" customFormat="1" x14ac:dyDescent="0.35">
      <c r="A20" s="35" t="s">
        <v>143</v>
      </c>
      <c r="B20" s="19" t="s">
        <v>14</v>
      </c>
      <c r="C20" s="29"/>
      <c r="D20" s="29"/>
      <c r="E20" s="29"/>
      <c r="F20" s="29"/>
      <c r="G20" s="20">
        <f>SUM(G21:G23)</f>
        <v>2470000</v>
      </c>
    </row>
    <row r="21" spans="1:9" s="17" customFormat="1" x14ac:dyDescent="0.35">
      <c r="A21" s="35" t="s">
        <v>144</v>
      </c>
      <c r="B21" s="28" t="s">
        <v>212</v>
      </c>
      <c r="C21" s="18">
        <f>'Personnel de terrain'!C12+'Personnel de terrain'!E12</f>
        <v>60</v>
      </c>
      <c r="D21" s="16">
        <v>1</v>
      </c>
      <c r="E21" s="16" t="s">
        <v>49</v>
      </c>
      <c r="F21" s="15">
        <v>30000</v>
      </c>
      <c r="G21" s="18">
        <f>C21*D21*F21</f>
        <v>1800000</v>
      </c>
    </row>
    <row r="22" spans="1:9" s="17" customFormat="1" x14ac:dyDescent="0.35">
      <c r="A22" s="35" t="s">
        <v>145</v>
      </c>
      <c r="B22" s="28" t="s">
        <v>74</v>
      </c>
      <c r="C22" s="18">
        <f>'Personnel de terrain'!D12</f>
        <v>16</v>
      </c>
      <c r="D22" s="16">
        <v>1</v>
      </c>
      <c r="E22" s="16" t="s">
        <v>49</v>
      </c>
      <c r="F22" s="15">
        <v>25000</v>
      </c>
      <c r="G22" s="18">
        <f>C22*D22*F22</f>
        <v>400000</v>
      </c>
    </row>
    <row r="23" spans="1:9" s="17" customFormat="1" x14ac:dyDescent="0.35">
      <c r="A23" s="35" t="s">
        <v>146</v>
      </c>
      <c r="B23" s="28" t="s">
        <v>104</v>
      </c>
      <c r="C23" s="18">
        <f>C6+C4+C5</f>
        <v>9</v>
      </c>
      <c r="D23" s="16">
        <v>1</v>
      </c>
      <c r="E23" s="16" t="s">
        <v>49</v>
      </c>
      <c r="F23" s="15">
        <v>30000</v>
      </c>
      <c r="G23" s="18">
        <f>C23*D23*F23</f>
        <v>270000</v>
      </c>
    </row>
    <row r="24" spans="1:9" x14ac:dyDescent="0.35">
      <c r="A24" s="35"/>
      <c r="B24" s="39"/>
      <c r="C24" s="15"/>
      <c r="D24" s="15"/>
      <c r="E24" s="15"/>
      <c r="F24" s="15"/>
      <c r="G24" s="15"/>
    </row>
    <row r="25" spans="1:9" s="36" customFormat="1" x14ac:dyDescent="0.35">
      <c r="A25" s="9">
        <v>4</v>
      </c>
      <c r="B25" s="10" t="s">
        <v>222</v>
      </c>
      <c r="C25" s="11"/>
      <c r="D25" s="11"/>
      <c r="E25" s="11" t="s">
        <v>49</v>
      </c>
      <c r="F25" s="11"/>
      <c r="G25" s="18">
        <f>1700000+700000+108000</f>
        <v>2508000</v>
      </c>
    </row>
    <row r="26" spans="1:9" s="36" customFormat="1" x14ac:dyDescent="0.35">
      <c r="A26" s="35"/>
      <c r="B26" s="13"/>
      <c r="C26" s="21"/>
      <c r="D26" s="14"/>
      <c r="E26" s="14"/>
      <c r="F26" s="15"/>
      <c r="G26" s="15"/>
    </row>
    <row r="27" spans="1:9" s="36" customFormat="1" x14ac:dyDescent="0.35">
      <c r="A27" s="9">
        <v>5</v>
      </c>
      <c r="B27" s="10" t="s">
        <v>50</v>
      </c>
      <c r="C27" s="11"/>
      <c r="D27" s="11"/>
      <c r="E27" s="11"/>
      <c r="F27" s="11"/>
      <c r="G27" s="12">
        <f>G28+G33+G35+G38+G48</f>
        <v>38006000</v>
      </c>
      <c r="H27" s="60"/>
      <c r="I27" s="60"/>
    </row>
    <row r="28" spans="1:9" s="36" customFormat="1" ht="27" x14ac:dyDescent="0.35">
      <c r="A28" s="35" t="s">
        <v>147</v>
      </c>
      <c r="B28" s="19" t="s">
        <v>51</v>
      </c>
      <c r="C28" s="15"/>
      <c r="D28" s="15"/>
      <c r="E28" s="15"/>
      <c r="F28" s="15"/>
      <c r="G28" s="20">
        <f>SUM(G29:G32)</f>
        <v>6336000</v>
      </c>
      <c r="H28" s="60"/>
      <c r="I28" s="60"/>
    </row>
    <row r="29" spans="1:9" s="36" customFormat="1" ht="27" x14ac:dyDescent="0.35">
      <c r="A29" s="35" t="s">
        <v>148</v>
      </c>
      <c r="B29" s="37" t="s">
        <v>225</v>
      </c>
      <c r="C29" s="15">
        <f>'Personnel de terrain'!G12</f>
        <v>83.600000000000009</v>
      </c>
      <c r="D29" s="14">
        <v>6</v>
      </c>
      <c r="E29" s="15" t="s">
        <v>10</v>
      </c>
      <c r="F29" s="15">
        <v>10000</v>
      </c>
      <c r="G29" s="15">
        <f>C29*D29*F29</f>
        <v>5016000</v>
      </c>
      <c r="H29" s="60"/>
      <c r="I29" s="60"/>
    </row>
    <row r="30" spans="1:9" s="36" customFormat="1" x14ac:dyDescent="0.35">
      <c r="A30" s="35" t="s">
        <v>149</v>
      </c>
      <c r="B30" s="37" t="s">
        <v>138</v>
      </c>
      <c r="C30" s="15">
        <v>12</v>
      </c>
      <c r="D30" s="15">
        <f>D29</f>
        <v>6</v>
      </c>
      <c r="E30" s="15" t="s">
        <v>10</v>
      </c>
      <c r="F30" s="15">
        <v>15000</v>
      </c>
      <c r="G30" s="15">
        <f>C30*D30*F30</f>
        <v>1080000</v>
      </c>
      <c r="H30" s="60"/>
      <c r="I30" s="60"/>
    </row>
    <row r="31" spans="1:9" s="36" customFormat="1" x14ac:dyDescent="0.35">
      <c r="A31" s="35" t="s">
        <v>150</v>
      </c>
      <c r="B31" s="37" t="s">
        <v>223</v>
      </c>
      <c r="C31" s="15">
        <v>1</v>
      </c>
      <c r="D31" s="15">
        <f>D30</f>
        <v>6</v>
      </c>
      <c r="E31" s="15" t="s">
        <v>10</v>
      </c>
      <c r="F31" s="15">
        <v>10000</v>
      </c>
      <c r="G31" s="15">
        <f>C31*D31*F31</f>
        <v>60000</v>
      </c>
      <c r="H31" s="60"/>
      <c r="I31" s="60"/>
    </row>
    <row r="32" spans="1:9" s="36" customFormat="1" ht="27" x14ac:dyDescent="0.35">
      <c r="A32" s="35" t="s">
        <v>151</v>
      </c>
      <c r="B32" s="37" t="s">
        <v>224</v>
      </c>
      <c r="C32" s="15">
        <v>3</v>
      </c>
      <c r="D32" s="15">
        <f>D31</f>
        <v>6</v>
      </c>
      <c r="E32" s="15" t="s">
        <v>10</v>
      </c>
      <c r="F32" s="15">
        <v>10000</v>
      </c>
      <c r="G32" s="15">
        <f>C32*D32*F32</f>
        <v>180000</v>
      </c>
      <c r="H32" s="60"/>
      <c r="I32" s="60"/>
    </row>
    <row r="33" spans="1:9" s="36" customFormat="1" x14ac:dyDescent="0.35">
      <c r="A33" s="35" t="s">
        <v>152</v>
      </c>
      <c r="B33" s="19" t="s">
        <v>16</v>
      </c>
      <c r="C33" s="15"/>
      <c r="D33" s="15"/>
      <c r="E33" s="15"/>
      <c r="F33" s="15"/>
      <c r="G33" s="20">
        <f>G34</f>
        <v>1200000</v>
      </c>
      <c r="H33" s="60"/>
      <c r="I33" s="60"/>
    </row>
    <row r="34" spans="1:9" s="36" customFormat="1" x14ac:dyDescent="0.35">
      <c r="A34" s="35" t="s">
        <v>153</v>
      </c>
      <c r="B34" s="40" t="s">
        <v>17</v>
      </c>
      <c r="C34" s="15">
        <v>2</v>
      </c>
      <c r="D34" s="15">
        <f>D29</f>
        <v>6</v>
      </c>
      <c r="E34" s="15" t="s">
        <v>10</v>
      </c>
      <c r="F34" s="15">
        <v>100000</v>
      </c>
      <c r="G34" s="15">
        <f>C34*D34*F34</f>
        <v>1200000</v>
      </c>
      <c r="H34" s="60"/>
      <c r="I34" s="60"/>
    </row>
    <row r="35" spans="1:9" s="36" customFormat="1" x14ac:dyDescent="0.35">
      <c r="A35" s="35" t="s">
        <v>154</v>
      </c>
      <c r="B35" s="19" t="s">
        <v>18</v>
      </c>
      <c r="C35" s="21"/>
      <c r="D35" s="15"/>
      <c r="E35" s="14"/>
      <c r="F35" s="15"/>
      <c r="G35" s="20">
        <f>SUM(G36:G37)</f>
        <v>11760000</v>
      </c>
      <c r="H35" s="60"/>
      <c r="I35" s="60"/>
    </row>
    <row r="36" spans="1:9" s="36" customFormat="1" x14ac:dyDescent="0.35">
      <c r="A36" s="35" t="s">
        <v>155</v>
      </c>
      <c r="B36" s="37" t="s">
        <v>75</v>
      </c>
      <c r="C36" s="15">
        <f>'Personnel de terrain'!C12+'Personnel de terrain'!E12</f>
        <v>60</v>
      </c>
      <c r="D36" s="15">
        <v>14</v>
      </c>
      <c r="E36" s="15" t="s">
        <v>31</v>
      </c>
      <c r="F36" s="15">
        <v>10000</v>
      </c>
      <c r="G36" s="15">
        <f>C36*D36*F36</f>
        <v>8400000</v>
      </c>
      <c r="H36" s="60"/>
      <c r="I36" s="60"/>
    </row>
    <row r="37" spans="1:9" s="36" customFormat="1" x14ac:dyDescent="0.35">
      <c r="A37" s="35" t="s">
        <v>156</v>
      </c>
      <c r="B37" s="37" t="s">
        <v>76</v>
      </c>
      <c r="C37" s="15">
        <f>'Personnel de terrain'!D12</f>
        <v>16</v>
      </c>
      <c r="D37" s="15">
        <f>D36</f>
        <v>14</v>
      </c>
      <c r="E37" s="15" t="s">
        <v>31</v>
      </c>
      <c r="F37" s="15">
        <v>15000</v>
      </c>
      <c r="G37" s="15">
        <f>C37*D37*F37</f>
        <v>3360000</v>
      </c>
      <c r="H37" s="60"/>
      <c r="I37" s="60"/>
    </row>
    <row r="38" spans="1:9" s="36" customFormat="1" x14ac:dyDescent="0.35">
      <c r="A38" s="35" t="s">
        <v>157</v>
      </c>
      <c r="B38" s="19" t="s">
        <v>27</v>
      </c>
      <c r="C38" s="15"/>
      <c r="D38" s="15"/>
      <c r="E38" s="15"/>
      <c r="F38" s="15"/>
      <c r="G38" s="20">
        <f>G39+SUM(G45:G47)</f>
        <v>6360000</v>
      </c>
      <c r="H38" s="60"/>
      <c r="I38" s="60"/>
    </row>
    <row r="39" spans="1:9" s="36" customFormat="1" ht="27" x14ac:dyDescent="0.35">
      <c r="A39" s="35" t="s">
        <v>158</v>
      </c>
      <c r="B39" s="37" t="s">
        <v>28</v>
      </c>
      <c r="C39" s="15"/>
      <c r="D39" s="15"/>
      <c r="E39" s="15"/>
      <c r="F39" s="15"/>
      <c r="G39" s="15">
        <f>SUM(G40:G44)</f>
        <v>1640000</v>
      </c>
      <c r="H39" s="60"/>
      <c r="I39" s="60"/>
    </row>
    <row r="40" spans="1:9" s="36" customFormat="1" x14ac:dyDescent="0.35">
      <c r="A40" s="35" t="s">
        <v>159</v>
      </c>
      <c r="B40" s="13" t="s">
        <v>52</v>
      </c>
      <c r="C40" s="15">
        <f>'Personnel de terrain'!F6</f>
        <v>25</v>
      </c>
      <c r="D40" s="15"/>
      <c r="E40" s="15" t="s">
        <v>90</v>
      </c>
      <c r="F40" s="15">
        <v>10000</v>
      </c>
      <c r="G40" s="15">
        <f t="shared" ref="G40:G46" si="0">C40*F40</f>
        <v>250000</v>
      </c>
      <c r="H40" s="60"/>
      <c r="I40" s="60"/>
    </row>
    <row r="41" spans="1:9" s="36" customFormat="1" x14ac:dyDescent="0.35">
      <c r="A41" s="35" t="s">
        <v>160</v>
      </c>
      <c r="B41" s="13" t="s">
        <v>39</v>
      </c>
      <c r="C41" s="15">
        <f>'Personnel de terrain'!F10</f>
        <v>15</v>
      </c>
      <c r="D41" s="15"/>
      <c r="E41" s="15" t="s">
        <v>90</v>
      </c>
      <c r="F41" s="15">
        <v>20000</v>
      </c>
      <c r="G41" s="15">
        <f t="shared" si="0"/>
        <v>300000</v>
      </c>
      <c r="H41" s="60"/>
      <c r="I41" s="60"/>
    </row>
    <row r="42" spans="1:9" s="36" customFormat="1" x14ac:dyDescent="0.35">
      <c r="A42" s="35" t="s">
        <v>161</v>
      </c>
      <c r="B42" s="13" t="s">
        <v>40</v>
      </c>
      <c r="C42" s="15">
        <f>'Personnel de terrain'!F9</f>
        <v>10</v>
      </c>
      <c r="D42" s="15"/>
      <c r="E42" s="15" t="s">
        <v>90</v>
      </c>
      <c r="F42" s="15">
        <v>20000</v>
      </c>
      <c r="G42" s="15">
        <f t="shared" si="0"/>
        <v>200000</v>
      </c>
      <c r="H42" s="60"/>
      <c r="I42" s="60"/>
    </row>
    <row r="43" spans="1:9" s="36" customFormat="1" x14ac:dyDescent="0.35">
      <c r="A43" s="35" t="s">
        <v>162</v>
      </c>
      <c r="B43" s="13" t="s">
        <v>41</v>
      </c>
      <c r="C43" s="15">
        <f>'Personnel de terrain'!F11</f>
        <v>10</v>
      </c>
      <c r="D43" s="15"/>
      <c r="E43" s="15" t="s">
        <v>90</v>
      </c>
      <c r="F43" s="15">
        <v>25000</v>
      </c>
      <c r="G43" s="15">
        <f t="shared" si="0"/>
        <v>250000</v>
      </c>
      <c r="H43" s="60"/>
      <c r="I43" s="60"/>
    </row>
    <row r="44" spans="1:9" s="36" customFormat="1" x14ac:dyDescent="0.35">
      <c r="A44" s="35" t="s">
        <v>163</v>
      </c>
      <c r="B44" s="13" t="s">
        <v>53</v>
      </c>
      <c r="C44" s="15">
        <f>'Personnel de terrain'!F8+'Personnel de terrain'!F7</f>
        <v>16</v>
      </c>
      <c r="D44" s="15"/>
      <c r="E44" s="15" t="s">
        <v>90</v>
      </c>
      <c r="F44" s="15">
        <v>40000</v>
      </c>
      <c r="G44" s="15">
        <f t="shared" si="0"/>
        <v>640000</v>
      </c>
      <c r="H44" s="60"/>
      <c r="I44" s="60">
        <f>4000*14</f>
        <v>56000</v>
      </c>
    </row>
    <row r="45" spans="1:9" s="36" customFormat="1" ht="27" x14ac:dyDescent="0.35">
      <c r="A45" s="35" t="s">
        <v>164</v>
      </c>
      <c r="B45" s="37" t="s">
        <v>30</v>
      </c>
      <c r="C45" s="15">
        <f>C36</f>
        <v>60</v>
      </c>
      <c r="D45" s="15"/>
      <c r="E45" s="15" t="s">
        <v>15</v>
      </c>
      <c r="F45" s="15">
        <f>4000*14</f>
        <v>56000</v>
      </c>
      <c r="G45" s="15">
        <f t="shared" si="0"/>
        <v>3360000</v>
      </c>
      <c r="H45" s="60"/>
      <c r="I45" s="60"/>
    </row>
    <row r="46" spans="1:9" s="36" customFormat="1" ht="27" x14ac:dyDescent="0.35">
      <c r="A46" s="35" t="s">
        <v>165</v>
      </c>
      <c r="B46" s="37" t="s">
        <v>19</v>
      </c>
      <c r="C46" s="15">
        <f>C37</f>
        <v>16</v>
      </c>
      <c r="D46" s="15"/>
      <c r="E46" s="15" t="s">
        <v>15</v>
      </c>
      <c r="F46" s="15">
        <f>5000*14</f>
        <v>70000</v>
      </c>
      <c r="G46" s="15">
        <f t="shared" si="0"/>
        <v>1120000</v>
      </c>
      <c r="H46" s="60"/>
      <c r="I46" s="60"/>
    </row>
    <row r="47" spans="1:9" s="36" customFormat="1" x14ac:dyDescent="0.35">
      <c r="A47" s="79" t="s">
        <v>166</v>
      </c>
      <c r="B47" s="28" t="s">
        <v>231</v>
      </c>
      <c r="C47" s="18">
        <v>12</v>
      </c>
      <c r="D47" s="18">
        <v>10</v>
      </c>
      <c r="E47" s="18" t="s">
        <v>232</v>
      </c>
      <c r="F47" s="15">
        <v>2000</v>
      </c>
      <c r="G47" s="15">
        <f>C47*D47*F47</f>
        <v>240000</v>
      </c>
      <c r="H47" s="60"/>
      <c r="I47" s="60"/>
    </row>
    <row r="48" spans="1:9" s="36" customFormat="1" x14ac:dyDescent="0.35">
      <c r="A48" s="35" t="s">
        <v>167</v>
      </c>
      <c r="B48" s="19" t="s">
        <v>20</v>
      </c>
      <c r="C48" s="15"/>
      <c r="D48" s="15"/>
      <c r="E48" s="15"/>
      <c r="F48" s="15"/>
      <c r="G48" s="20">
        <f>G49+G52+G59+G62+G65+G70</f>
        <v>12350000</v>
      </c>
      <c r="H48" s="60"/>
      <c r="I48" s="60"/>
    </row>
    <row r="49" spans="1:9" s="36" customFormat="1" x14ac:dyDescent="0.35">
      <c r="A49" s="35" t="s">
        <v>168</v>
      </c>
      <c r="B49" s="41" t="s">
        <v>21</v>
      </c>
      <c r="C49" s="14"/>
      <c r="D49" s="14"/>
      <c r="E49" s="14"/>
      <c r="F49" s="15"/>
      <c r="G49" s="20">
        <f>SUM(G50:G51)</f>
        <v>4620000</v>
      </c>
      <c r="H49" s="60"/>
      <c r="I49" s="60"/>
    </row>
    <row r="50" spans="1:9" s="36" customFormat="1" x14ac:dyDescent="0.35">
      <c r="A50" s="35" t="s">
        <v>169</v>
      </c>
      <c r="B50" s="37" t="s">
        <v>213</v>
      </c>
      <c r="C50" s="18">
        <v>6</v>
      </c>
      <c r="D50" s="16">
        <f>7*2</f>
        <v>14</v>
      </c>
      <c r="E50" s="16" t="s">
        <v>10</v>
      </c>
      <c r="F50" s="18">
        <v>45000</v>
      </c>
      <c r="G50" s="15">
        <f>+C50*D50*F50</f>
        <v>3780000</v>
      </c>
      <c r="H50" s="60"/>
      <c r="I50" s="60"/>
    </row>
    <row r="51" spans="1:9" s="36" customFormat="1" x14ac:dyDescent="0.35">
      <c r="A51" s="35" t="s">
        <v>170</v>
      </c>
      <c r="B51" s="37" t="s">
        <v>214</v>
      </c>
      <c r="C51" s="16">
        <v>3</v>
      </c>
      <c r="D51" s="16">
        <f>D50</f>
        <v>14</v>
      </c>
      <c r="E51" s="16" t="s">
        <v>10</v>
      </c>
      <c r="F51" s="18">
        <v>20000</v>
      </c>
      <c r="G51" s="15">
        <f>+C51*D51*F51</f>
        <v>840000</v>
      </c>
      <c r="H51" s="60"/>
      <c r="I51" s="60"/>
    </row>
    <row r="52" spans="1:9" s="36" customFormat="1" x14ac:dyDescent="0.35">
      <c r="A52" s="35" t="s">
        <v>171</v>
      </c>
      <c r="B52" s="19" t="s">
        <v>22</v>
      </c>
      <c r="C52" s="14"/>
      <c r="D52" s="14"/>
      <c r="E52" s="14"/>
      <c r="F52" s="15"/>
      <c r="G52" s="20">
        <f>SUM(G53:G58)</f>
        <v>2500000</v>
      </c>
      <c r="H52" s="60"/>
      <c r="I52" s="60"/>
    </row>
    <row r="53" spans="1:9" s="36" customFormat="1" x14ac:dyDescent="0.35">
      <c r="A53" s="35" t="s">
        <v>172</v>
      </c>
      <c r="B53" s="38" t="s">
        <v>54</v>
      </c>
      <c r="C53" s="14">
        <v>2</v>
      </c>
      <c r="D53" s="14">
        <v>1</v>
      </c>
      <c r="E53" s="14" t="s">
        <v>23</v>
      </c>
      <c r="F53" s="15">
        <v>300000</v>
      </c>
      <c r="G53" s="15">
        <f t="shared" ref="G53:G58" si="1">+C53*D53*F53</f>
        <v>600000</v>
      </c>
      <c r="H53" s="60"/>
      <c r="I53" s="60"/>
    </row>
    <row r="54" spans="1:9" s="36" customFormat="1" x14ac:dyDescent="0.35">
      <c r="A54" s="35" t="s">
        <v>173</v>
      </c>
      <c r="B54" s="38" t="s">
        <v>55</v>
      </c>
      <c r="C54" s="14">
        <f>C53</f>
        <v>2</v>
      </c>
      <c r="D54" s="14">
        <v>1</v>
      </c>
      <c r="E54" s="14" t="s">
        <v>23</v>
      </c>
      <c r="F54" s="15">
        <v>300000</v>
      </c>
      <c r="G54" s="15">
        <f t="shared" si="1"/>
        <v>600000</v>
      </c>
      <c r="H54" s="60"/>
      <c r="I54" s="60"/>
    </row>
    <row r="55" spans="1:9" s="36" customFormat="1" x14ac:dyDescent="0.35">
      <c r="A55" s="35" t="s">
        <v>174</v>
      </c>
      <c r="B55" s="38" t="s">
        <v>56</v>
      </c>
      <c r="C55" s="14">
        <f>C54</f>
        <v>2</v>
      </c>
      <c r="D55" s="14">
        <v>1</v>
      </c>
      <c r="E55" s="14" t="s">
        <v>23</v>
      </c>
      <c r="F55" s="15">
        <v>200000</v>
      </c>
      <c r="G55" s="15">
        <f t="shared" si="1"/>
        <v>400000</v>
      </c>
      <c r="H55" s="60"/>
      <c r="I55" s="60"/>
    </row>
    <row r="56" spans="1:9" s="36" customFormat="1" x14ac:dyDescent="0.35">
      <c r="A56" s="35" t="s">
        <v>175</v>
      </c>
      <c r="B56" s="38" t="s">
        <v>57</v>
      </c>
      <c r="C56" s="14">
        <f>C55</f>
        <v>2</v>
      </c>
      <c r="D56" s="14">
        <v>1</v>
      </c>
      <c r="E56" s="14" t="s">
        <v>23</v>
      </c>
      <c r="F56" s="15">
        <v>150000</v>
      </c>
      <c r="G56" s="15">
        <f t="shared" si="1"/>
        <v>300000</v>
      </c>
      <c r="H56" s="60"/>
      <c r="I56" s="60"/>
    </row>
    <row r="57" spans="1:9" s="36" customFormat="1" x14ac:dyDescent="0.35">
      <c r="A57" s="35" t="s">
        <v>176</v>
      </c>
      <c r="B57" s="38" t="s">
        <v>58</v>
      </c>
      <c r="C57" s="14">
        <f>C56</f>
        <v>2</v>
      </c>
      <c r="D57" s="14">
        <v>1</v>
      </c>
      <c r="E57" s="14" t="s">
        <v>23</v>
      </c>
      <c r="F57" s="15">
        <v>150000</v>
      </c>
      <c r="G57" s="15">
        <f t="shared" si="1"/>
        <v>300000</v>
      </c>
      <c r="H57" s="60"/>
      <c r="I57" s="60"/>
    </row>
    <row r="58" spans="1:9" s="36" customFormat="1" x14ac:dyDescent="0.35">
      <c r="A58" s="35" t="s">
        <v>177</v>
      </c>
      <c r="B58" s="38" t="s">
        <v>59</v>
      </c>
      <c r="C58" s="14">
        <f>C57</f>
        <v>2</v>
      </c>
      <c r="D58" s="14">
        <v>1</v>
      </c>
      <c r="E58" s="14" t="s">
        <v>23</v>
      </c>
      <c r="F58" s="15">
        <v>150000</v>
      </c>
      <c r="G58" s="15">
        <f t="shared" si="1"/>
        <v>300000</v>
      </c>
      <c r="H58" s="60"/>
      <c r="I58" s="60"/>
    </row>
    <row r="59" spans="1:9" s="66" customFormat="1" x14ac:dyDescent="0.35">
      <c r="A59" s="62" t="s">
        <v>178</v>
      </c>
      <c r="B59" s="67" t="s">
        <v>24</v>
      </c>
      <c r="C59" s="63"/>
      <c r="D59" s="63"/>
      <c r="E59" s="63"/>
      <c r="F59" s="64"/>
      <c r="G59" s="68">
        <f>SUM(G60:G61)</f>
        <v>2520000</v>
      </c>
      <c r="H59" s="65"/>
      <c r="I59" s="65"/>
    </row>
    <row r="60" spans="1:9" s="36" customFormat="1" x14ac:dyDescent="0.35">
      <c r="A60" s="35" t="s">
        <v>179</v>
      </c>
      <c r="B60" s="38" t="s">
        <v>25</v>
      </c>
      <c r="C60" s="14">
        <v>2</v>
      </c>
      <c r="D60" s="14">
        <f>D50</f>
        <v>14</v>
      </c>
      <c r="E60" s="14" t="s">
        <v>10</v>
      </c>
      <c r="F60" s="61">
        <v>63000</v>
      </c>
      <c r="G60" s="15">
        <f>C60*D60*F60</f>
        <v>1764000</v>
      </c>
      <c r="H60" s="60"/>
      <c r="I60" s="60"/>
    </row>
    <row r="61" spans="1:9" s="36" customFormat="1" x14ac:dyDescent="0.35">
      <c r="A61" s="35" t="s">
        <v>180</v>
      </c>
      <c r="B61" s="38" t="s">
        <v>26</v>
      </c>
      <c r="C61" s="14">
        <v>1</v>
      </c>
      <c r="D61" s="14">
        <f>D50</f>
        <v>14</v>
      </c>
      <c r="E61" s="14" t="s">
        <v>10</v>
      </c>
      <c r="F61" s="61">
        <v>54000</v>
      </c>
      <c r="G61" s="15">
        <f>C61*D61*F61</f>
        <v>756000</v>
      </c>
      <c r="H61" s="60"/>
      <c r="I61" s="60"/>
    </row>
    <row r="62" spans="1:9" s="36" customFormat="1" x14ac:dyDescent="0.35">
      <c r="A62" s="35" t="s">
        <v>181</v>
      </c>
      <c r="B62" s="41" t="s">
        <v>134</v>
      </c>
      <c r="C62" s="14"/>
      <c r="D62" s="16"/>
      <c r="E62" s="14"/>
      <c r="F62" s="15"/>
      <c r="G62" s="20">
        <f>SUM(G63:G64)</f>
        <v>900000</v>
      </c>
      <c r="H62" s="60"/>
      <c r="I62" s="60"/>
    </row>
    <row r="63" spans="1:9" s="36" customFormat="1" x14ac:dyDescent="0.35">
      <c r="A63" s="35" t="s">
        <v>182</v>
      </c>
      <c r="B63" s="37" t="s">
        <v>215</v>
      </c>
      <c r="C63" s="14">
        <v>4</v>
      </c>
      <c r="D63" s="16">
        <v>5</v>
      </c>
      <c r="E63" s="14" t="s">
        <v>10</v>
      </c>
      <c r="F63" s="15">
        <v>45000</v>
      </c>
      <c r="G63" s="15">
        <f>+C63*D63*F63</f>
        <v>900000</v>
      </c>
      <c r="H63" s="60"/>
      <c r="I63" s="60"/>
    </row>
    <row r="64" spans="1:9" s="36" customFormat="1" x14ac:dyDescent="0.35">
      <c r="A64" s="35" t="s">
        <v>183</v>
      </c>
      <c r="B64" s="37" t="s">
        <v>216</v>
      </c>
      <c r="C64" s="14">
        <f>C63</f>
        <v>4</v>
      </c>
      <c r="D64" s="16">
        <f>D63</f>
        <v>5</v>
      </c>
      <c r="E64" s="14" t="s">
        <v>10</v>
      </c>
      <c r="F64" s="74" t="s">
        <v>206</v>
      </c>
      <c r="G64" s="74" t="s">
        <v>206</v>
      </c>
      <c r="H64" s="60"/>
      <c r="I64" s="60"/>
    </row>
    <row r="65" spans="1:9" s="36" customFormat="1" ht="27" x14ac:dyDescent="0.35">
      <c r="A65" s="35" t="s">
        <v>184</v>
      </c>
      <c r="B65" s="41" t="s">
        <v>136</v>
      </c>
      <c r="C65" s="14"/>
      <c r="D65" s="16"/>
      <c r="E65" s="14"/>
      <c r="F65" s="15"/>
      <c r="G65" s="20">
        <f>SUM(G66:G69)</f>
        <v>640000</v>
      </c>
      <c r="H65" s="60"/>
      <c r="I65" s="60"/>
    </row>
    <row r="66" spans="1:9" s="36" customFormat="1" x14ac:dyDescent="0.35">
      <c r="A66" s="35" t="s">
        <v>185</v>
      </c>
      <c r="B66" s="38" t="s">
        <v>60</v>
      </c>
      <c r="C66" s="14">
        <v>1</v>
      </c>
      <c r="D66" s="14">
        <v>1</v>
      </c>
      <c r="E66" s="14" t="s">
        <v>23</v>
      </c>
      <c r="F66" s="15">
        <v>200000</v>
      </c>
      <c r="G66" s="15">
        <f>+C66*D66*F66</f>
        <v>200000</v>
      </c>
      <c r="H66" s="60"/>
      <c r="I66" s="60"/>
    </row>
    <row r="67" spans="1:9" s="36" customFormat="1" x14ac:dyDescent="0.35">
      <c r="A67" s="35" t="s">
        <v>186</v>
      </c>
      <c r="B67" s="38" t="s">
        <v>61</v>
      </c>
      <c r="C67" s="14">
        <f>C66</f>
        <v>1</v>
      </c>
      <c r="D67" s="14">
        <f>D66</f>
        <v>1</v>
      </c>
      <c r="E67" s="14" t="s">
        <v>23</v>
      </c>
      <c r="F67" s="15">
        <v>200000</v>
      </c>
      <c r="G67" s="15">
        <f>+C67*D67*F67</f>
        <v>200000</v>
      </c>
      <c r="H67" s="60"/>
      <c r="I67" s="60"/>
    </row>
    <row r="68" spans="1:9" s="36" customFormat="1" x14ac:dyDescent="0.35">
      <c r="A68" s="35" t="s">
        <v>187</v>
      </c>
      <c r="B68" s="38" t="s">
        <v>62</v>
      </c>
      <c r="C68" s="14">
        <f>C66</f>
        <v>1</v>
      </c>
      <c r="D68" s="14">
        <f>D66</f>
        <v>1</v>
      </c>
      <c r="E68" s="14" t="s">
        <v>23</v>
      </c>
      <c r="F68" s="15">
        <v>120000</v>
      </c>
      <c r="G68" s="15">
        <f>+C68*D68*F68</f>
        <v>120000</v>
      </c>
      <c r="H68" s="60"/>
      <c r="I68" s="60"/>
    </row>
    <row r="69" spans="1:9" s="36" customFormat="1" x14ac:dyDescent="0.35">
      <c r="A69" s="35" t="s">
        <v>188</v>
      </c>
      <c r="B69" s="38" t="s">
        <v>63</v>
      </c>
      <c r="C69" s="14">
        <f>C66</f>
        <v>1</v>
      </c>
      <c r="D69" s="14">
        <f>D66</f>
        <v>1</v>
      </c>
      <c r="E69" s="14" t="s">
        <v>23</v>
      </c>
      <c r="F69" s="15">
        <v>120000</v>
      </c>
      <c r="G69" s="15">
        <f>+C69*D69*F69</f>
        <v>120000</v>
      </c>
      <c r="H69" s="60"/>
      <c r="I69" s="60"/>
    </row>
    <row r="70" spans="1:9" s="36" customFormat="1" ht="27" x14ac:dyDescent="0.35">
      <c r="A70" s="35" t="s">
        <v>189</v>
      </c>
      <c r="B70" s="41" t="s">
        <v>135</v>
      </c>
      <c r="C70" s="14"/>
      <c r="D70" s="14"/>
      <c r="E70" s="14"/>
      <c r="F70" s="18"/>
      <c r="G70" s="20">
        <f>SUM(G71:G72)</f>
        <v>1170000</v>
      </c>
      <c r="H70" s="60"/>
      <c r="I70" s="60"/>
    </row>
    <row r="71" spans="1:9" s="36" customFormat="1" x14ac:dyDescent="0.35">
      <c r="A71" s="35" t="s">
        <v>190</v>
      </c>
      <c r="B71" s="38" t="s">
        <v>25</v>
      </c>
      <c r="C71" s="14">
        <v>2</v>
      </c>
      <c r="D71" s="14">
        <f>D63</f>
        <v>5</v>
      </c>
      <c r="E71" s="14" t="s">
        <v>31</v>
      </c>
      <c r="F71" s="18">
        <f>F60</f>
        <v>63000</v>
      </c>
      <c r="G71" s="15">
        <f>C71*D71*F71</f>
        <v>630000</v>
      </c>
      <c r="H71" s="60"/>
      <c r="I71" s="60"/>
    </row>
    <row r="72" spans="1:9" s="36" customFormat="1" x14ac:dyDescent="0.35">
      <c r="A72" s="35" t="s">
        <v>191</v>
      </c>
      <c r="B72" s="38" t="s">
        <v>26</v>
      </c>
      <c r="C72" s="14">
        <v>2</v>
      </c>
      <c r="D72" s="14">
        <f>D63</f>
        <v>5</v>
      </c>
      <c r="E72" s="14" t="s">
        <v>31</v>
      </c>
      <c r="F72" s="18">
        <f>F61</f>
        <v>54000</v>
      </c>
      <c r="G72" s="15">
        <f>C72*D72*F72</f>
        <v>540000</v>
      </c>
      <c r="H72" s="60"/>
      <c r="I72" s="60"/>
    </row>
    <row r="73" spans="1:9" s="36" customFormat="1" x14ac:dyDescent="0.35">
      <c r="A73" s="35"/>
      <c r="B73" s="38"/>
      <c r="C73" s="14"/>
      <c r="D73" s="14"/>
      <c r="E73" s="14"/>
      <c r="F73" s="15"/>
      <c r="G73" s="15"/>
    </row>
    <row r="74" spans="1:9" s="36" customFormat="1" x14ac:dyDescent="0.35">
      <c r="A74" s="9">
        <v>6</v>
      </c>
      <c r="B74" s="10" t="s">
        <v>127</v>
      </c>
      <c r="C74" s="11"/>
      <c r="D74" s="11"/>
      <c r="E74" s="11"/>
      <c r="F74" s="11"/>
      <c r="G74" s="12">
        <f>SUM(G75,G83)</f>
        <v>10032000</v>
      </c>
    </row>
    <row r="75" spans="1:9" s="36" customFormat="1" x14ac:dyDescent="0.35">
      <c r="A75" s="35" t="s">
        <v>192</v>
      </c>
      <c r="B75" s="13" t="s">
        <v>66</v>
      </c>
      <c r="C75" s="14"/>
      <c r="D75" s="14"/>
      <c r="E75" s="14"/>
      <c r="F75" s="15"/>
      <c r="G75" s="20">
        <f>SUM(G76:G81)</f>
        <v>5016000</v>
      </c>
    </row>
    <row r="76" spans="1:9" s="36" customFormat="1" x14ac:dyDescent="0.35">
      <c r="A76" s="35" t="s">
        <v>193</v>
      </c>
      <c r="B76" s="13" t="s">
        <v>207</v>
      </c>
      <c r="C76" s="14">
        <v>12</v>
      </c>
      <c r="D76" s="14">
        <v>7</v>
      </c>
      <c r="E76" s="14" t="s">
        <v>67</v>
      </c>
      <c r="F76" s="15">
        <v>45000</v>
      </c>
      <c r="G76" s="15">
        <f t="shared" ref="G76:G81" si="2">C76*D76*F76</f>
        <v>3780000</v>
      </c>
    </row>
    <row r="77" spans="1:9" s="36" customFormat="1" ht="27" x14ac:dyDescent="0.35">
      <c r="A77" s="35" t="s">
        <v>194</v>
      </c>
      <c r="B77" s="13" t="s">
        <v>68</v>
      </c>
      <c r="C77" s="14">
        <f>C76</f>
        <v>12</v>
      </c>
      <c r="D77" s="14">
        <v>1</v>
      </c>
      <c r="E77" s="14" t="s">
        <v>29</v>
      </c>
      <c r="F77" s="15">
        <v>15000</v>
      </c>
      <c r="G77" s="15">
        <f t="shared" si="2"/>
        <v>180000</v>
      </c>
    </row>
    <row r="78" spans="1:9" s="36" customFormat="1" x14ac:dyDescent="0.35">
      <c r="A78" s="35" t="s">
        <v>195</v>
      </c>
      <c r="B78" s="13" t="s">
        <v>69</v>
      </c>
      <c r="C78" s="14">
        <v>1</v>
      </c>
      <c r="D78" s="14">
        <f>D76-1</f>
        <v>6</v>
      </c>
      <c r="E78" s="14" t="s">
        <v>67</v>
      </c>
      <c r="F78" s="15">
        <v>100000</v>
      </c>
      <c r="G78" s="15">
        <f t="shared" si="2"/>
        <v>600000</v>
      </c>
    </row>
    <row r="79" spans="1:9" s="36" customFormat="1" x14ac:dyDescent="0.35">
      <c r="A79" s="35" t="s">
        <v>196</v>
      </c>
      <c r="B79" s="13" t="s">
        <v>70</v>
      </c>
      <c r="C79" s="14">
        <f>C77*2</f>
        <v>24</v>
      </c>
      <c r="D79" s="14">
        <f>D78</f>
        <v>6</v>
      </c>
      <c r="E79" s="14" t="s">
        <v>70</v>
      </c>
      <c r="F79" s="15">
        <v>2500</v>
      </c>
      <c r="G79" s="15">
        <f t="shared" si="2"/>
        <v>360000</v>
      </c>
    </row>
    <row r="80" spans="1:9" s="36" customFormat="1" x14ac:dyDescent="0.35">
      <c r="A80" s="35" t="s">
        <v>197</v>
      </c>
      <c r="B80" s="13" t="s">
        <v>71</v>
      </c>
      <c r="C80" s="14">
        <f>C79</f>
        <v>24</v>
      </c>
      <c r="D80" s="14">
        <f>D78</f>
        <v>6</v>
      </c>
      <c r="E80" s="14" t="s">
        <v>72</v>
      </c>
      <c r="F80" s="15">
        <v>500</v>
      </c>
      <c r="G80" s="15">
        <f t="shared" si="2"/>
        <v>72000</v>
      </c>
    </row>
    <row r="81" spans="1:7" s="36" customFormat="1" x14ac:dyDescent="0.35">
      <c r="A81" s="35" t="s">
        <v>198</v>
      </c>
      <c r="B81" s="13" t="s">
        <v>209</v>
      </c>
      <c r="C81" s="14">
        <f>C77</f>
        <v>12</v>
      </c>
      <c r="D81" s="14">
        <v>1</v>
      </c>
      <c r="E81" s="14" t="s">
        <v>73</v>
      </c>
      <c r="F81" s="15">
        <v>2000</v>
      </c>
      <c r="G81" s="15">
        <f t="shared" si="2"/>
        <v>24000</v>
      </c>
    </row>
    <row r="82" spans="1:7" s="36" customFormat="1" x14ac:dyDescent="0.2">
      <c r="A82" s="35"/>
      <c r="B82" s="13"/>
      <c r="C82" s="14"/>
      <c r="D82" s="14"/>
      <c r="E82" s="14"/>
      <c r="F82" s="15"/>
      <c r="G82" s="46"/>
    </row>
    <row r="83" spans="1:7" s="36" customFormat="1" x14ac:dyDescent="0.35">
      <c r="A83" s="35" t="s">
        <v>199</v>
      </c>
      <c r="B83" s="13" t="s">
        <v>91</v>
      </c>
      <c r="C83" s="14"/>
      <c r="D83" s="14"/>
      <c r="E83" s="14"/>
      <c r="F83" s="15"/>
      <c r="G83" s="20">
        <f>SUM(G84:G89)</f>
        <v>5016000</v>
      </c>
    </row>
    <row r="84" spans="1:7" s="36" customFormat="1" ht="27" x14ac:dyDescent="0.35">
      <c r="A84" s="35" t="s">
        <v>200</v>
      </c>
      <c r="B84" s="13" t="s">
        <v>208</v>
      </c>
      <c r="C84" s="14">
        <v>12</v>
      </c>
      <c r="D84" s="14">
        <v>7</v>
      </c>
      <c r="E84" s="14" t="s">
        <v>67</v>
      </c>
      <c r="F84" s="15">
        <v>45000</v>
      </c>
      <c r="G84" s="15">
        <f t="shared" ref="G84:G89" si="3">C84*D84*F84</f>
        <v>3780000</v>
      </c>
    </row>
    <row r="85" spans="1:7" s="36" customFormat="1" ht="27" x14ac:dyDescent="0.35">
      <c r="A85" s="35" t="s">
        <v>201</v>
      </c>
      <c r="B85" s="13" t="s">
        <v>68</v>
      </c>
      <c r="C85" s="14">
        <f>C84</f>
        <v>12</v>
      </c>
      <c r="D85" s="14">
        <v>1</v>
      </c>
      <c r="E85" s="14" t="s">
        <v>29</v>
      </c>
      <c r="F85" s="15">
        <v>15000</v>
      </c>
      <c r="G85" s="15">
        <f t="shared" si="3"/>
        <v>180000</v>
      </c>
    </row>
    <row r="86" spans="1:7" s="36" customFormat="1" x14ac:dyDescent="0.35">
      <c r="A86" s="35" t="s">
        <v>202</v>
      </c>
      <c r="B86" s="13" t="s">
        <v>69</v>
      </c>
      <c r="C86" s="14">
        <v>1</v>
      </c>
      <c r="D86" s="14">
        <f>D84-1</f>
        <v>6</v>
      </c>
      <c r="E86" s="14" t="s">
        <v>67</v>
      </c>
      <c r="F86" s="15">
        <f>F78</f>
        <v>100000</v>
      </c>
      <c r="G86" s="15">
        <f t="shared" si="3"/>
        <v>600000</v>
      </c>
    </row>
    <row r="87" spans="1:7" s="36" customFormat="1" x14ac:dyDescent="0.35">
      <c r="A87" s="35" t="s">
        <v>203</v>
      </c>
      <c r="B87" s="13" t="s">
        <v>70</v>
      </c>
      <c r="C87" s="14">
        <f>C85*2</f>
        <v>24</v>
      </c>
      <c r="D87" s="14">
        <f>D86</f>
        <v>6</v>
      </c>
      <c r="E87" s="14" t="s">
        <v>70</v>
      </c>
      <c r="F87" s="15">
        <f>F79</f>
        <v>2500</v>
      </c>
      <c r="G87" s="15">
        <f>C87*D87*F87</f>
        <v>360000</v>
      </c>
    </row>
    <row r="88" spans="1:7" s="36" customFormat="1" x14ac:dyDescent="0.35">
      <c r="A88" s="35" t="s">
        <v>204</v>
      </c>
      <c r="B88" s="13" t="s">
        <v>71</v>
      </c>
      <c r="C88" s="14">
        <f>C87</f>
        <v>24</v>
      </c>
      <c r="D88" s="14">
        <f>D86</f>
        <v>6</v>
      </c>
      <c r="E88" s="14" t="s">
        <v>72</v>
      </c>
      <c r="F88" s="15">
        <v>500</v>
      </c>
      <c r="G88" s="15">
        <f t="shared" si="3"/>
        <v>72000</v>
      </c>
    </row>
    <row r="89" spans="1:7" s="36" customFormat="1" x14ac:dyDescent="0.35">
      <c r="A89" s="35" t="s">
        <v>205</v>
      </c>
      <c r="B89" s="13" t="s">
        <v>209</v>
      </c>
      <c r="C89" s="14">
        <f>C85</f>
        <v>12</v>
      </c>
      <c r="D89" s="14">
        <v>1</v>
      </c>
      <c r="E89" s="14" t="s">
        <v>73</v>
      </c>
      <c r="F89" s="15">
        <v>2000</v>
      </c>
      <c r="G89" s="15">
        <f t="shared" si="3"/>
        <v>24000</v>
      </c>
    </row>
    <row r="90" spans="1:7" s="36" customFormat="1" x14ac:dyDescent="0.35">
      <c r="A90" s="35"/>
      <c r="B90" s="13"/>
      <c r="C90" s="14"/>
      <c r="D90" s="14"/>
      <c r="E90" s="14"/>
      <c r="F90" s="15"/>
      <c r="G90" s="15"/>
    </row>
    <row r="91" spans="1:7" s="36" customFormat="1" x14ac:dyDescent="0.35">
      <c r="A91" s="9">
        <v>7</v>
      </c>
      <c r="B91" s="10" t="s">
        <v>106</v>
      </c>
      <c r="C91" s="11"/>
      <c r="D91" s="11"/>
      <c r="E91" s="11"/>
      <c r="F91" s="11"/>
      <c r="G91" s="12">
        <f>SUM(G92:G92)</f>
        <v>1950000</v>
      </c>
    </row>
    <row r="92" spans="1:7" s="36" customFormat="1" ht="27" x14ac:dyDescent="0.35">
      <c r="A92" s="35" t="s">
        <v>92</v>
      </c>
      <c r="B92" s="38" t="s">
        <v>107</v>
      </c>
      <c r="C92" s="15">
        <f>C95</f>
        <v>76</v>
      </c>
      <c r="D92" s="14"/>
      <c r="E92" s="14" t="s">
        <v>49</v>
      </c>
      <c r="F92" s="15"/>
      <c r="G92" s="15">
        <v>1950000</v>
      </c>
    </row>
    <row r="93" spans="1:7" s="36" customFormat="1" x14ac:dyDescent="0.35">
      <c r="A93" s="35"/>
      <c r="B93" s="13"/>
      <c r="C93" s="14"/>
      <c r="D93" s="14"/>
      <c r="E93" s="14"/>
      <c r="F93" s="15"/>
      <c r="G93" s="15"/>
    </row>
    <row r="94" spans="1:7" s="36" customFormat="1" x14ac:dyDescent="0.35">
      <c r="A94" s="9">
        <v>8</v>
      </c>
      <c r="B94" s="10" t="s">
        <v>219</v>
      </c>
      <c r="C94" s="11"/>
      <c r="D94" s="11"/>
      <c r="E94" s="11"/>
      <c r="F94" s="11"/>
      <c r="G94" s="12">
        <f>SUM(G95:G98)</f>
        <v>6890000</v>
      </c>
    </row>
    <row r="95" spans="1:7" s="36" customFormat="1" x14ac:dyDescent="0.35">
      <c r="A95" s="35" t="s">
        <v>93</v>
      </c>
      <c r="B95" s="77" t="s">
        <v>210</v>
      </c>
      <c r="C95" s="15">
        <f>'Personnel de terrain'!C18+'Personnel de terrain'!C19</f>
        <v>76</v>
      </c>
      <c r="D95" s="14"/>
      <c r="E95" s="14"/>
      <c r="F95" s="18">
        <v>50000</v>
      </c>
      <c r="G95" s="15">
        <f>C95*F95</f>
        <v>3800000</v>
      </c>
    </row>
    <row r="96" spans="1:7" s="17" customFormat="1" x14ac:dyDescent="0.35">
      <c r="A96" s="35" t="s">
        <v>94</v>
      </c>
      <c r="B96" s="38" t="s">
        <v>218</v>
      </c>
      <c r="C96" s="18">
        <f>C95+3</f>
        <v>79</v>
      </c>
      <c r="D96" s="16"/>
      <c r="E96" s="16"/>
      <c r="F96" s="18">
        <v>10000</v>
      </c>
      <c r="G96" s="15">
        <f>C96*F96</f>
        <v>790000</v>
      </c>
    </row>
    <row r="97" spans="1:7" s="36" customFormat="1" x14ac:dyDescent="0.35">
      <c r="A97" s="35" t="s">
        <v>217</v>
      </c>
      <c r="B97" s="38" t="s">
        <v>128</v>
      </c>
      <c r="C97" s="15">
        <v>3</v>
      </c>
      <c r="D97" s="14"/>
      <c r="E97" s="14"/>
      <c r="F97" s="18">
        <v>500000</v>
      </c>
      <c r="G97" s="15">
        <f>C97*F97</f>
        <v>1500000</v>
      </c>
    </row>
    <row r="98" spans="1:7" s="36" customFormat="1" x14ac:dyDescent="0.35">
      <c r="A98" s="35" t="s">
        <v>220</v>
      </c>
      <c r="B98" s="38" t="s">
        <v>221</v>
      </c>
      <c r="C98" s="15">
        <v>1</v>
      </c>
      <c r="D98" s="14"/>
      <c r="E98" s="14"/>
      <c r="F98" s="18">
        <v>800000</v>
      </c>
      <c r="G98" s="15">
        <f>C98*F98</f>
        <v>800000</v>
      </c>
    </row>
    <row r="99" spans="1:7" s="36" customFormat="1" x14ac:dyDescent="0.35">
      <c r="A99" s="35"/>
      <c r="B99" s="38"/>
      <c r="C99" s="15"/>
      <c r="D99" s="14"/>
      <c r="E99" s="14"/>
      <c r="F99" s="18"/>
      <c r="G99" s="15"/>
    </row>
    <row r="100" spans="1:7" s="36" customFormat="1" x14ac:dyDescent="0.35">
      <c r="A100" s="35"/>
      <c r="B100" s="38"/>
      <c r="C100" s="15"/>
      <c r="D100" s="14"/>
      <c r="E100" s="14"/>
      <c r="F100" s="18"/>
      <c r="G100" s="15"/>
    </row>
    <row r="101" spans="1:7" s="36" customFormat="1" x14ac:dyDescent="0.35">
      <c r="A101" s="9">
        <v>9</v>
      </c>
      <c r="B101" s="10" t="s">
        <v>129</v>
      </c>
      <c r="C101" s="11"/>
      <c r="D101" s="11"/>
      <c r="E101" s="11"/>
      <c r="F101" s="11"/>
      <c r="G101" s="12">
        <f>SUM(G102)</f>
        <v>1760000</v>
      </c>
    </row>
    <row r="102" spans="1:7" s="36" customFormat="1" ht="27" x14ac:dyDescent="0.35">
      <c r="A102" s="35" t="s">
        <v>95</v>
      </c>
      <c r="B102" s="38" t="s">
        <v>130</v>
      </c>
      <c r="C102" s="15">
        <v>1</v>
      </c>
      <c r="D102" s="14"/>
      <c r="E102" s="14" t="s">
        <v>49</v>
      </c>
      <c r="F102" s="18">
        <f>(2*2500*100+2*16*300*100)+300000</f>
        <v>1760000</v>
      </c>
      <c r="G102" s="15">
        <f>C102*F102</f>
        <v>1760000</v>
      </c>
    </row>
    <row r="103" spans="1:7" s="36" customFormat="1" x14ac:dyDescent="0.35">
      <c r="A103" s="35"/>
      <c r="B103" s="38"/>
      <c r="C103" s="15"/>
      <c r="D103" s="14"/>
      <c r="E103" s="14"/>
      <c r="F103" s="18"/>
      <c r="G103" s="15"/>
    </row>
    <row r="104" spans="1:7" s="36" customFormat="1" x14ac:dyDescent="0.35">
      <c r="A104" s="9">
        <v>10</v>
      </c>
      <c r="B104" s="10" t="s">
        <v>227</v>
      </c>
      <c r="C104" s="11"/>
      <c r="D104" s="11"/>
      <c r="E104" s="11"/>
      <c r="F104" s="11"/>
      <c r="G104" s="12">
        <f>G3+G8+G16+G25+G27+G74+G91+G94+G101</f>
        <v>71376000</v>
      </c>
    </row>
    <row r="105" spans="1:7" s="36" customFormat="1" x14ac:dyDescent="0.35">
      <c r="A105" s="35"/>
      <c r="B105" s="38"/>
      <c r="C105" s="15"/>
      <c r="D105" s="14"/>
      <c r="E105" s="14"/>
      <c r="F105" s="18"/>
      <c r="G105" s="15"/>
    </row>
    <row r="106" spans="1:7" s="36" customFormat="1" x14ac:dyDescent="0.35">
      <c r="A106" s="9">
        <v>11</v>
      </c>
      <c r="B106" s="10" t="s">
        <v>226</v>
      </c>
      <c r="C106" s="11"/>
      <c r="D106" s="11"/>
      <c r="E106" s="11"/>
      <c r="F106" s="11"/>
      <c r="G106" s="12">
        <f>G107</f>
        <v>3568800</v>
      </c>
    </row>
    <row r="107" spans="1:7" s="36" customFormat="1" x14ac:dyDescent="0.35">
      <c r="A107" s="35" t="s">
        <v>228</v>
      </c>
      <c r="B107" s="38" t="s">
        <v>229</v>
      </c>
      <c r="C107" s="15">
        <v>1</v>
      </c>
      <c r="D107" s="14"/>
      <c r="E107" s="14" t="s">
        <v>49</v>
      </c>
      <c r="F107" s="18"/>
      <c r="G107" s="15">
        <f>5%*G104</f>
        <v>3568800</v>
      </c>
    </row>
    <row r="108" spans="1:7" s="36" customFormat="1" ht="14" thickBot="1" x14ac:dyDescent="0.4">
      <c r="A108" s="35"/>
      <c r="B108" s="38"/>
      <c r="C108" s="15"/>
      <c r="D108" s="14"/>
      <c r="E108" s="14"/>
      <c r="F108" s="18"/>
      <c r="G108" s="15"/>
    </row>
    <row r="109" spans="1:7" s="36" customFormat="1" ht="14" thickBot="1" x14ac:dyDescent="0.4">
      <c r="A109" s="24">
        <v>12</v>
      </c>
      <c r="B109" s="25" t="s">
        <v>2</v>
      </c>
      <c r="C109" s="26"/>
      <c r="D109" s="26"/>
      <c r="E109" s="26"/>
      <c r="F109" s="26"/>
      <c r="G109" s="27">
        <f>G104+G106</f>
        <v>74944800</v>
      </c>
    </row>
    <row r="110" spans="1:7" x14ac:dyDescent="0.35">
      <c r="A110" s="35"/>
    </row>
    <row r="111" spans="1:7" x14ac:dyDescent="0.35">
      <c r="A111" s="35"/>
      <c r="B111" s="22"/>
      <c r="G111" s="23"/>
    </row>
    <row r="112" spans="1:7" x14ac:dyDescent="0.35">
      <c r="G112" s="23"/>
    </row>
    <row r="113" spans="7:7" x14ac:dyDescent="0.35">
      <c r="G113" s="23"/>
    </row>
  </sheetData>
  <autoFilter ref="A2:G108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topLeftCell="A5" zoomScale="120" zoomScaleNormal="120" workbookViewId="0">
      <selection activeCell="G18" sqref="G18"/>
    </sheetView>
  </sheetViews>
  <sheetFormatPr defaultColWidth="10.90625" defaultRowHeight="14.5" x14ac:dyDescent="0.35"/>
  <cols>
    <col min="2" max="2" width="56.26953125" bestFit="1" customWidth="1"/>
    <col min="3" max="3" width="20.26953125" customWidth="1"/>
  </cols>
  <sheetData>
    <row r="3" spans="2:7" ht="15" thickBot="1" x14ac:dyDescent="0.4"/>
    <row r="4" spans="2:7" ht="16" thickBot="1" x14ac:dyDescent="0.4">
      <c r="B4" s="50" t="s">
        <v>42</v>
      </c>
      <c r="C4" s="51" t="s">
        <v>96</v>
      </c>
    </row>
    <row r="5" spans="2:7" ht="16" thickBot="1" x14ac:dyDescent="0.4">
      <c r="B5" s="85"/>
      <c r="C5" s="32" t="s">
        <v>97</v>
      </c>
    </row>
    <row r="6" spans="2:7" ht="31.5" thickBot="1" x14ac:dyDescent="0.4">
      <c r="B6" s="86"/>
      <c r="C6" s="52" t="s">
        <v>102</v>
      </c>
    </row>
    <row r="7" spans="2:7" ht="15.5" thickTop="1" thickBot="1" x14ac:dyDescent="0.4">
      <c r="B7" s="53" t="s">
        <v>98</v>
      </c>
      <c r="C7" s="54">
        <f>'BUDGET Enquete COVID PNUD'!G8-'BUDGET Enquete COVID PNUD'!G14</f>
        <v>2535000</v>
      </c>
      <c r="E7" s="31">
        <f>C7/$C$18</f>
        <v>3.3824895122810388E-2</v>
      </c>
    </row>
    <row r="8" spans="2:7" ht="15" thickBot="1" x14ac:dyDescent="0.4">
      <c r="B8" s="53" t="s">
        <v>111</v>
      </c>
      <c r="C8" s="54">
        <f>'BUDGET Enquete COVID PNUD'!G14</f>
        <v>500000</v>
      </c>
      <c r="E8" s="31">
        <f t="shared" ref="E8:E18" si="0">C8/$C$18</f>
        <v>6.6715769472998794E-3</v>
      </c>
    </row>
    <row r="9" spans="2:7" ht="15" thickBot="1" x14ac:dyDescent="0.4">
      <c r="B9" s="53" t="s">
        <v>108</v>
      </c>
      <c r="C9" s="54">
        <f>'BUDGET Enquete COVID PNUD'!G28</f>
        <v>6336000</v>
      </c>
      <c r="E9" s="31">
        <f t="shared" si="0"/>
        <v>8.4542223076184073E-2</v>
      </c>
    </row>
    <row r="10" spans="2:7" ht="15" thickBot="1" x14ac:dyDescent="0.4">
      <c r="B10" s="53" t="s">
        <v>34</v>
      </c>
      <c r="C10" s="54">
        <f>'BUDGET Enquete COVID PNUD'!G16</f>
        <v>5470000</v>
      </c>
      <c r="E10" s="31">
        <f t="shared" si="0"/>
        <v>7.2987051803460684E-2</v>
      </c>
    </row>
    <row r="11" spans="2:7" ht="15" thickBot="1" x14ac:dyDescent="0.4">
      <c r="B11" s="53" t="s">
        <v>35</v>
      </c>
      <c r="C11" s="54">
        <f>'BUDGET Enquete COVID PNUD'!G27-'BUDGET Enquete COVID PNUD'!G48-'BUDGET Enquete COVID PNUD'!G28</f>
        <v>19320000</v>
      </c>
      <c r="E11" s="31">
        <f t="shared" si="0"/>
        <v>0.25778973324366733</v>
      </c>
    </row>
    <row r="12" spans="2:7" ht="15" thickBot="1" x14ac:dyDescent="0.4">
      <c r="B12" s="53" t="s">
        <v>36</v>
      </c>
      <c r="C12" s="54">
        <f>'BUDGET Enquete COVID PNUD'!G48</f>
        <v>12350000</v>
      </c>
      <c r="E12" s="31">
        <f t="shared" si="0"/>
        <v>0.16478795059830703</v>
      </c>
    </row>
    <row r="13" spans="2:7" ht="15" thickBot="1" x14ac:dyDescent="0.4">
      <c r="B13" s="53" t="s">
        <v>101</v>
      </c>
      <c r="C13" s="54">
        <f>'BUDGET Enquete COVID PNUD'!G74</f>
        <v>10032000</v>
      </c>
      <c r="E13" s="31">
        <f t="shared" si="0"/>
        <v>0.13385851987062478</v>
      </c>
    </row>
    <row r="14" spans="2:7" ht="15" thickBot="1" x14ac:dyDescent="0.4">
      <c r="B14" s="53" t="s">
        <v>109</v>
      </c>
      <c r="C14" s="54">
        <f>'BUDGET Enquete COVID PNUD'!G25+'BUDGET Enquete COVID PNUD'!G94</f>
        <v>9398000</v>
      </c>
      <c r="E14" s="31">
        <f t="shared" si="0"/>
        <v>0.12539896030144854</v>
      </c>
    </row>
    <row r="15" spans="2:7" ht="15" thickBot="1" x14ac:dyDescent="0.4">
      <c r="B15" s="53" t="s">
        <v>112</v>
      </c>
      <c r="C15" s="54">
        <f>'BUDGET Enquete COVID PNUD'!G91</f>
        <v>1950000</v>
      </c>
      <c r="E15" s="31">
        <f t="shared" si="0"/>
        <v>2.6019150094469531E-2</v>
      </c>
    </row>
    <row r="16" spans="2:7" ht="15" thickBot="1" x14ac:dyDescent="0.4">
      <c r="B16" s="53" t="s">
        <v>137</v>
      </c>
      <c r="C16" s="54">
        <f>'BUDGET Enquete COVID PNUD'!G101</f>
        <v>1760000</v>
      </c>
      <c r="E16" s="31">
        <f t="shared" si="0"/>
        <v>2.3483950854495575E-2</v>
      </c>
      <c r="G16" s="30"/>
    </row>
    <row r="17" spans="2:7" ht="15" thickBot="1" x14ac:dyDescent="0.4">
      <c r="B17" s="53" t="s">
        <v>110</v>
      </c>
      <c r="C17" s="54">
        <f>'BUDGET Enquete COVID PNUD'!G3+'BUDGET Enquete COVID PNUD'!G106</f>
        <v>5293800</v>
      </c>
      <c r="E17" s="31">
        <f t="shared" si="0"/>
        <v>7.0635988087232204E-2</v>
      </c>
      <c r="G17" s="30">
        <f>C17+C7</f>
        <v>7828800</v>
      </c>
    </row>
    <row r="18" spans="2:7" ht="15" thickBot="1" x14ac:dyDescent="0.4">
      <c r="B18" s="53" t="s">
        <v>37</v>
      </c>
      <c r="C18" s="54">
        <f>SUM(C7:C17)</f>
        <v>74944800</v>
      </c>
      <c r="E18" s="31">
        <f t="shared" si="0"/>
        <v>1</v>
      </c>
    </row>
    <row r="20" spans="2:7" x14ac:dyDescent="0.35">
      <c r="C20" s="30">
        <f>'BUDGET Enquete COVID PNUD'!E1</f>
        <v>74944800</v>
      </c>
    </row>
    <row r="21" spans="2:7" x14ac:dyDescent="0.35">
      <c r="C21" s="55">
        <f>C20-C18</f>
        <v>0</v>
      </c>
    </row>
  </sheetData>
  <mergeCells count="1"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Personnel de terrain</vt:lpstr>
      <vt:lpstr>BUDGET Enquete COVID PNUD</vt:lpstr>
      <vt:lpstr>SYNTHESE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2017-05-07T17:06:49Z</dcterms:created>
  <dcterms:modified xsi:type="dcterms:W3CDTF">2020-06-24T20:35:17Z</dcterms:modified>
</cp:coreProperties>
</file>